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Mijn Documenten\Duurzaam\Gebouwen\EPC\"/>
    </mc:Choice>
  </mc:AlternateContent>
  <xr:revisionPtr revIDLastSave="0" documentId="8_{0C896A65-25ED-44D2-9D49-EE0F0304BF23}" xr6:coauthVersionLast="47" xr6:coauthVersionMax="47" xr10:uidLastSave="{00000000-0000-0000-0000-000000000000}"/>
  <workbookProtection workbookAlgorithmName="SHA-512" workbookHashValue="Om/qJNELM7WkPY2BWyBV9VLsDSlwoMyCPe5DVp2Obat+BAz2wd3Y/hJyfz3bkwGMS5BEIKlO97T436972lluWw==" workbookSaltValue="k+rkDtThrPYSVQ8u2LWNTw==" workbookSpinCount="100000" lockStructure="1"/>
  <bookViews>
    <workbookView xWindow="384" yWindow="564" windowWidth="29892" windowHeight="16008" activeTab="1" xr2:uid="{74246EF1-F6D9-485F-88A2-67F6BB98F22A}"/>
  </bookViews>
  <sheets>
    <sheet name="Toelichting" sheetId="2" r:id="rId1"/>
    <sheet name="PV_Rekentool" sheetId="7" r:id="rId2"/>
    <sheet name="Resultaat" sheetId="9" state="hidden" r:id="rId3"/>
    <sheet name="Drop-down" sheetId="6" state="hidden" r:id="rId4"/>
    <sheet name="Rekenblad" sheetId="3" state="hidden" r:id="rId5"/>
    <sheet name="Datablad" sheetId="4" state="hidden" r:id="rId6"/>
  </sheets>
  <definedNames>
    <definedName name="aanwezig2">PV_Rekentool!$C$51</definedName>
    <definedName name="aanwezig3">PV_Rekentool!$C$71</definedName>
    <definedName name="aanwezig4">PV_Rekentool!$C$91</definedName>
    <definedName name="aanwezig5">PV_Rekentool!$C$111</definedName>
    <definedName name="aanwezig6">PV_Rekentool!$C$131</definedName>
    <definedName name="aanwezig7">PV_Rekentool!$C$151</definedName>
    <definedName name="_xlnm.Print_Area" localSheetId="1">PV_Rekentool!$A$1:$E$172</definedName>
    <definedName name="Bepaling_eis">PV_Rekentool!$B$26</definedName>
    <definedName name="f_Pren_renelect">Rekenblad!$C$18</definedName>
    <definedName name="Forfaitair">'Drop-down'!$AF$26:$AL$30</definedName>
    <definedName name="Gebruiksoppervlak">PV_Rekentool!$C$22</definedName>
    <definedName name="invoerwijzewatpiekvermogen">'Drop-down'!$Y$12:$Z$17</definedName>
    <definedName name="Jaartalklassen">'Drop-down'!$M$12:$N$16</definedName>
    <definedName name="keuzePV">'Drop-down'!$L$22:$Q$28</definedName>
    <definedName name="MeerInformatie">Toelichting!$B$81</definedName>
    <definedName name="nieuw_systeemlijst">'Drop-down'!$I$12:$I$13</definedName>
    <definedName name="nieuw_systeemlijst_nieuw">'Drop-down'!$I$12</definedName>
    <definedName name="nieuwbestaand">'Drop-down'!$I$12:$J$13</definedName>
    <definedName name="nieuwbestaand1">PV_Rekentool!$C$35</definedName>
    <definedName name="nieuwbestaand2">PV_Rekentool!$C$55</definedName>
    <definedName name="Opbrengst_systeem1">Rekenblad!$D$10</definedName>
    <definedName name="Opbrengst_systeem2">Rekenblad!$D$11</definedName>
    <definedName name="Opbrengst_systeem3">Rekenblad!$D$12</definedName>
    <definedName name="Opbrengst_systeem4">Rekenblad!$D$13</definedName>
    <definedName name="Opbrengst_systeem5">Rekenblad!$D$14</definedName>
    <definedName name="Opbrengst_systeem6">Rekenblad!$D$15</definedName>
    <definedName name="Opbrengst_systeem7">Rekenblad!$D$16</definedName>
    <definedName name="Opbrengst_tot_kWh_m2_jaar">Rekenblad!$D$3</definedName>
    <definedName name="Orientatie">'Drop-down'!$AW$12:$AX$21</definedName>
    <definedName name="PRINT">PV_Rekentool!#REF!</definedName>
    <definedName name="PV_algemeen">PV_Rekentool!$B$5</definedName>
    <definedName name="PV_details">PV_Rekentool!$B$38</definedName>
    <definedName name="PV_Gebouwkenmerken">PV_Rekentool!$B$21</definedName>
    <definedName name="PV_Gegevens_PV_systeem">PV_Rekentool!$B$33</definedName>
    <definedName name="PV_Gegevens_PV_systeem1">PV_Rekentool!$B$33</definedName>
    <definedName name="PV_Objectgegevens">PV_Rekentool!$B$13</definedName>
    <definedName name="Rekentool_algemeen">Toelichting!$B$5</definedName>
    <definedName name="Relatieve_breedte">'Drop-down'!$BI$11:$BI$14</definedName>
    <definedName name="Resultaten">PV_Rekentool!#REF!</definedName>
    <definedName name="Selecteer_zonnepaneeltype">'Drop-down'!$AH$12:$AH$18</definedName>
    <definedName name="Systeemdetails">'Drop-down'!$P$12:$Q$17</definedName>
    <definedName name="Toelichting_Afdrukken">Toelichting!$B$164</definedName>
    <definedName name="Toelichting_algemeen">Toelichting!$B$27</definedName>
    <definedName name="Toelichting_Bepaling_eis">Toelichting!$B$71</definedName>
    <definedName name="Toelichting_Gebouwkenmerken">Toelichting!$B$37</definedName>
    <definedName name="Toelichting_Gegevens_PV_systeem">Toelichting!$B$89</definedName>
    <definedName name="Toelichting_Gegevens_PV_systeem1">Toelichting!$B$89</definedName>
    <definedName name="Toelichting_Objectgegevens">Toelichting!$B$32</definedName>
    <definedName name="Toelichting_Resultaten">Toelichting!#REF!</definedName>
    <definedName name="Tool_Afdrukken">PV_Rekentool!$H$5</definedName>
    <definedName name="Typecel1">PV_Rekentool!$C$42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7" l="1"/>
  <c r="C29" i="7"/>
  <c r="B4" i="7"/>
  <c r="B170" i="7"/>
  <c r="B150" i="7"/>
  <c r="B130" i="7"/>
  <c r="B110" i="7"/>
  <c r="B90" i="7"/>
  <c r="B86" i="7"/>
  <c r="B36" i="7"/>
  <c r="B70" i="7" l="1"/>
  <c r="D36" i="7"/>
  <c r="B50" i="7"/>
  <c r="B56" i="7"/>
  <c r="B12" i="9"/>
  <c r="D12" i="9" s="1"/>
  <c r="B11" i="9"/>
  <c r="D11" i="9" s="1"/>
  <c r="B10" i="9"/>
  <c r="D10" i="9" s="1"/>
  <c r="B9" i="9"/>
  <c r="D9" i="9" s="1"/>
  <c r="B8" i="9"/>
  <c r="D8" i="9" s="1"/>
  <c r="B7" i="9"/>
  <c r="D7" i="9" s="1"/>
  <c r="B31" i="7"/>
  <c r="B15" i="9" s="1"/>
  <c r="B3" i="9"/>
  <c r="C30" i="7" l="1"/>
  <c r="C15" i="9" s="1"/>
  <c r="B14" i="9"/>
  <c r="D14" i="9"/>
  <c r="D101" i="7" l="1" a="1"/>
  <c r="D101" i="7" s="1"/>
  <c r="D121" i="7" a="1"/>
  <c r="D121" i="7" s="1"/>
  <c r="D141" i="7" a="1"/>
  <c r="D141" i="7" s="1"/>
  <c r="D161" i="7" a="1"/>
  <c r="D161" i="7" s="1"/>
  <c r="B62" i="7" a="1"/>
  <c r="B62" i="7" s="1"/>
  <c r="D81" i="7" a="1"/>
  <c r="D81" i="7" s="1"/>
  <c r="D160" i="7" a="1"/>
  <c r="D160" i="7" s="1"/>
  <c r="D140" i="7" a="1"/>
  <c r="D140" i="7" s="1"/>
  <c r="D120" i="7" a="1"/>
  <c r="D120" i="7" s="1"/>
  <c r="D100" i="7" a="1"/>
  <c r="D100" i="7" s="1"/>
  <c r="D60" i="7" a="1"/>
  <c r="D60" i="7" s="1"/>
  <c r="D80" i="7" a="1"/>
  <c r="D80" i="7" s="1"/>
  <c r="D8" i="6"/>
  <c r="D7" i="6"/>
  <c r="D6" i="6"/>
  <c r="D5" i="6"/>
  <c r="D4" i="6"/>
  <c r="D3" i="6"/>
  <c r="C73" i="7" l="1"/>
  <c r="BJ1" i="6" l="1"/>
  <c r="BG1" i="6"/>
  <c r="BD1" i="6"/>
  <c r="BA1" i="6"/>
  <c r="AX1" i="6"/>
  <c r="W1" i="6"/>
  <c r="Z1" i="6"/>
  <c r="AF1" i="6"/>
  <c r="AC1" i="6"/>
  <c r="T1" i="6"/>
  <c r="N1" i="6"/>
  <c r="J1" i="6"/>
  <c r="D1" i="6"/>
  <c r="Q1" i="6"/>
  <c r="AJ1" i="6"/>
  <c r="AZ3" i="6" a="1"/>
  <c r="AZ2" i="6" a="1"/>
  <c r="M3" i="6" a="1"/>
  <c r="AZ5" i="6" a="1"/>
  <c r="AZ8" i="6" a="1"/>
  <c r="BI2" i="6" a="1"/>
  <c r="J2" i="6" a="1"/>
  <c r="AZ7" i="6" a="1"/>
  <c r="BF6" i="6" a="1"/>
  <c r="P2" i="6" a="1"/>
  <c r="AZ6" i="6" a="1"/>
  <c r="BF2" i="6" a="1"/>
  <c r="AZ4" i="6" a="1"/>
  <c r="BF6" i="6" l="1"/>
  <c r="M3" i="6"/>
  <c r="AZ8" i="6"/>
  <c r="BA8" i="6" s="1"/>
  <c r="N571" i="3" s="1"/>
  <c r="AV566" i="3" s="1"/>
  <c r="AZ7" i="6"/>
  <c r="BA7" i="6" s="1"/>
  <c r="I515" i="3" s="1"/>
  <c r="AL512" i="3" s="1"/>
  <c r="AX518" i="3" s="1"/>
  <c r="AZ6" i="6"/>
  <c r="BA6" i="6" s="1"/>
  <c r="I426" i="3" s="1"/>
  <c r="AL423" i="3" s="1"/>
  <c r="AX429" i="3" s="1"/>
  <c r="AZ5" i="6"/>
  <c r="BA5" i="6" s="1"/>
  <c r="I337" i="3" s="1"/>
  <c r="AL334" i="3" s="1"/>
  <c r="AX340" i="3" s="1"/>
  <c r="AZ4" i="6"/>
  <c r="BA4" i="6" s="1"/>
  <c r="I248" i="3" s="1"/>
  <c r="AL245" i="3" s="1"/>
  <c r="AX251" i="3" s="1"/>
  <c r="AZ3" i="6"/>
  <c r="BA3" i="6" s="1"/>
  <c r="N128" i="3" s="1"/>
  <c r="AZ2" i="6"/>
  <c r="BA2" i="6" s="1"/>
  <c r="BI2" i="6"/>
  <c r="BJ2" i="6" s="1"/>
  <c r="BF2" i="6"/>
  <c r="J2" i="6"/>
  <c r="K2" i="6" s="1"/>
  <c r="P2" i="6"/>
  <c r="B41" i="7" a="1"/>
  <c r="B41" i="7" s="1"/>
  <c r="B60" i="7" a="1"/>
  <c r="B60" i="7" s="1"/>
  <c r="B40" i="7" a="1"/>
  <c r="B40" i="7" s="1"/>
  <c r="B63" i="7"/>
  <c r="B61" i="7" a="1"/>
  <c r="B61" i="7" s="1"/>
  <c r="D61" i="7" a="1"/>
  <c r="D61" i="7" s="1"/>
  <c r="D41" i="7" a="1"/>
  <c r="D41" i="7" s="1"/>
  <c r="D40" i="7" a="1"/>
  <c r="D40" i="7" s="1"/>
  <c r="J637" i="3"/>
  <c r="J636" i="3"/>
  <c r="J635" i="3"/>
  <c r="J634" i="3"/>
  <c r="J632" i="3"/>
  <c r="J631" i="3"/>
  <c r="J630" i="3"/>
  <c r="J629" i="3"/>
  <c r="J627" i="3"/>
  <c r="J626" i="3"/>
  <c r="J625" i="3"/>
  <c r="J624" i="3"/>
  <c r="X614" i="3"/>
  <c r="W614" i="3"/>
  <c r="V614" i="3"/>
  <c r="U614" i="3"/>
  <c r="T614" i="3"/>
  <c r="S614" i="3"/>
  <c r="R614" i="3"/>
  <c r="Q614" i="3"/>
  <c r="P614" i="3"/>
  <c r="O614" i="3"/>
  <c r="N614" i="3"/>
  <c r="M614" i="3"/>
  <c r="BJ605" i="3"/>
  <c r="BJ604" i="3"/>
  <c r="BI604" i="3"/>
  <c r="BH604" i="3"/>
  <c r="BG604" i="3"/>
  <c r="BF604" i="3"/>
  <c r="BE604" i="3"/>
  <c r="BD604" i="3"/>
  <c r="BC604" i="3"/>
  <c r="BB604" i="3"/>
  <c r="BA604" i="3"/>
  <c r="AZ604" i="3"/>
  <c r="AY604" i="3"/>
  <c r="AX604" i="3"/>
  <c r="BC602" i="3"/>
  <c r="BI605" i="3" s="1"/>
  <c r="P565" i="3"/>
  <c r="O565" i="3"/>
  <c r="N565" i="3"/>
  <c r="M565" i="3"/>
  <c r="L565" i="3"/>
  <c r="K565" i="3"/>
  <c r="J565" i="3"/>
  <c r="I565" i="3"/>
  <c r="H565" i="3"/>
  <c r="G565" i="3"/>
  <c r="F565" i="3"/>
  <c r="E565" i="3"/>
  <c r="P563" i="3"/>
  <c r="O563" i="3"/>
  <c r="N563" i="3"/>
  <c r="M563" i="3"/>
  <c r="L563" i="3"/>
  <c r="K563" i="3"/>
  <c r="J563" i="3"/>
  <c r="I563" i="3"/>
  <c r="H563" i="3"/>
  <c r="G563" i="3"/>
  <c r="F563" i="3"/>
  <c r="E563" i="3"/>
  <c r="P562" i="3"/>
  <c r="O562" i="3"/>
  <c r="N562" i="3"/>
  <c r="M562" i="3"/>
  <c r="L562" i="3"/>
  <c r="K562" i="3"/>
  <c r="J562" i="3"/>
  <c r="I562" i="3"/>
  <c r="H562" i="3"/>
  <c r="G562" i="3"/>
  <c r="F562" i="3"/>
  <c r="E562" i="3"/>
  <c r="J549" i="3"/>
  <c r="J548" i="3"/>
  <c r="J547" i="3"/>
  <c r="J546" i="3"/>
  <c r="J544" i="3"/>
  <c r="J543" i="3"/>
  <c r="J542" i="3"/>
  <c r="J541" i="3"/>
  <c r="J539" i="3"/>
  <c r="J538" i="3"/>
  <c r="J537" i="3"/>
  <c r="J536" i="3"/>
  <c r="X526" i="3"/>
  <c r="W526" i="3"/>
  <c r="V526" i="3"/>
  <c r="U526" i="3"/>
  <c r="T526" i="3"/>
  <c r="S526" i="3"/>
  <c r="R526" i="3"/>
  <c r="Q526" i="3"/>
  <c r="P526" i="3"/>
  <c r="O526" i="3"/>
  <c r="N526" i="3"/>
  <c r="M526" i="3"/>
  <c r="BJ517" i="3"/>
  <c r="BJ516" i="3"/>
  <c r="BI516" i="3"/>
  <c r="BH516" i="3"/>
  <c r="BG516" i="3"/>
  <c r="BF516" i="3"/>
  <c r="BE516" i="3"/>
  <c r="BD516" i="3"/>
  <c r="BC516" i="3"/>
  <c r="BB516" i="3"/>
  <c r="BA516" i="3"/>
  <c r="AZ516" i="3"/>
  <c r="AY516" i="3"/>
  <c r="AX516" i="3"/>
  <c r="BC514" i="3"/>
  <c r="BI517" i="3" s="1"/>
  <c r="P477" i="3"/>
  <c r="O477" i="3"/>
  <c r="N477" i="3"/>
  <c r="M477" i="3"/>
  <c r="L477" i="3"/>
  <c r="K477" i="3"/>
  <c r="J477" i="3"/>
  <c r="I477" i="3"/>
  <c r="H477" i="3"/>
  <c r="G477" i="3"/>
  <c r="F477" i="3"/>
  <c r="E477" i="3"/>
  <c r="P475" i="3"/>
  <c r="O475" i="3"/>
  <c r="N475" i="3"/>
  <c r="M475" i="3"/>
  <c r="L475" i="3"/>
  <c r="K475" i="3"/>
  <c r="J475" i="3"/>
  <c r="I475" i="3"/>
  <c r="H475" i="3"/>
  <c r="G475" i="3"/>
  <c r="F475" i="3"/>
  <c r="E475" i="3"/>
  <c r="P474" i="3"/>
  <c r="O474" i="3"/>
  <c r="N474" i="3"/>
  <c r="M474" i="3"/>
  <c r="L474" i="3"/>
  <c r="K474" i="3"/>
  <c r="J474" i="3"/>
  <c r="I474" i="3"/>
  <c r="H474" i="3"/>
  <c r="G474" i="3"/>
  <c r="F474" i="3"/>
  <c r="E474" i="3"/>
  <c r="J460" i="3"/>
  <c r="J459" i="3"/>
  <c r="J458" i="3"/>
  <c r="J457" i="3"/>
  <c r="J455" i="3"/>
  <c r="J454" i="3"/>
  <c r="J453" i="3"/>
  <c r="J452" i="3"/>
  <c r="J450" i="3"/>
  <c r="J449" i="3"/>
  <c r="J448" i="3"/>
  <c r="J447" i="3"/>
  <c r="X437" i="3"/>
  <c r="W437" i="3"/>
  <c r="V437" i="3"/>
  <c r="U437" i="3"/>
  <c r="T437" i="3"/>
  <c r="S437" i="3"/>
  <c r="R437" i="3"/>
  <c r="Q437" i="3"/>
  <c r="P437" i="3"/>
  <c r="O437" i="3"/>
  <c r="N437" i="3"/>
  <c r="M437" i="3"/>
  <c r="BJ428" i="3"/>
  <c r="BJ427" i="3"/>
  <c r="BI427" i="3"/>
  <c r="BH427" i="3"/>
  <c r="BG427" i="3"/>
  <c r="BF427" i="3"/>
  <c r="BE427" i="3"/>
  <c r="BD427" i="3"/>
  <c r="BC427" i="3"/>
  <c r="BB427" i="3"/>
  <c r="BA427" i="3"/>
  <c r="AZ427" i="3"/>
  <c r="AY427" i="3"/>
  <c r="AX427" i="3"/>
  <c r="BC425" i="3"/>
  <c r="BI428" i="3" s="1"/>
  <c r="BB425" i="3"/>
  <c r="BH428" i="3" s="1"/>
  <c r="P388" i="3"/>
  <c r="O388" i="3"/>
  <c r="N388" i="3"/>
  <c r="M388" i="3"/>
  <c r="L388" i="3"/>
  <c r="K388" i="3"/>
  <c r="J388" i="3"/>
  <c r="I388" i="3"/>
  <c r="H388" i="3"/>
  <c r="G388" i="3"/>
  <c r="F388" i="3"/>
  <c r="E388" i="3"/>
  <c r="P386" i="3"/>
  <c r="O386" i="3"/>
  <c r="N386" i="3"/>
  <c r="M386" i="3"/>
  <c r="L386" i="3"/>
  <c r="K386" i="3"/>
  <c r="J386" i="3"/>
  <c r="I386" i="3"/>
  <c r="H386" i="3"/>
  <c r="G386" i="3"/>
  <c r="F386" i="3"/>
  <c r="E386" i="3"/>
  <c r="P385" i="3"/>
  <c r="O385" i="3"/>
  <c r="N385" i="3"/>
  <c r="M385" i="3"/>
  <c r="L385" i="3"/>
  <c r="K385" i="3"/>
  <c r="J385" i="3"/>
  <c r="I385" i="3"/>
  <c r="H385" i="3"/>
  <c r="G385" i="3"/>
  <c r="F385" i="3"/>
  <c r="E385" i="3"/>
  <c r="J371" i="3"/>
  <c r="J370" i="3"/>
  <c r="J369" i="3"/>
  <c r="J368" i="3"/>
  <c r="J366" i="3"/>
  <c r="J365" i="3"/>
  <c r="J364" i="3"/>
  <c r="J363" i="3"/>
  <c r="J361" i="3"/>
  <c r="J360" i="3"/>
  <c r="J359" i="3"/>
  <c r="J358" i="3"/>
  <c r="X348" i="3"/>
  <c r="W348" i="3"/>
  <c r="V348" i="3"/>
  <c r="U348" i="3"/>
  <c r="T348" i="3"/>
  <c r="S348" i="3"/>
  <c r="R348" i="3"/>
  <c r="Q348" i="3"/>
  <c r="P348" i="3"/>
  <c r="O348" i="3"/>
  <c r="N348" i="3"/>
  <c r="M348" i="3"/>
  <c r="BJ339" i="3"/>
  <c r="BJ338" i="3"/>
  <c r="BI338" i="3"/>
  <c r="BH338" i="3"/>
  <c r="BG338" i="3"/>
  <c r="BF338" i="3"/>
  <c r="BE338" i="3"/>
  <c r="BD338" i="3"/>
  <c r="BC338" i="3"/>
  <c r="BB338" i="3"/>
  <c r="BA338" i="3"/>
  <c r="AZ338" i="3"/>
  <c r="AY338" i="3"/>
  <c r="AX338" i="3"/>
  <c r="BC336" i="3"/>
  <c r="BI339" i="3" s="1"/>
  <c r="P299" i="3"/>
  <c r="O299" i="3"/>
  <c r="N299" i="3"/>
  <c r="M299" i="3"/>
  <c r="L299" i="3"/>
  <c r="K299" i="3"/>
  <c r="J299" i="3"/>
  <c r="I299" i="3"/>
  <c r="H299" i="3"/>
  <c r="G299" i="3"/>
  <c r="F299" i="3"/>
  <c r="E299" i="3"/>
  <c r="P297" i="3"/>
  <c r="O297" i="3"/>
  <c r="N297" i="3"/>
  <c r="M297" i="3"/>
  <c r="L297" i="3"/>
  <c r="K297" i="3"/>
  <c r="J297" i="3"/>
  <c r="I297" i="3"/>
  <c r="H297" i="3"/>
  <c r="G297" i="3"/>
  <c r="F297" i="3"/>
  <c r="E297" i="3"/>
  <c r="P296" i="3"/>
  <c r="O296" i="3"/>
  <c r="N296" i="3"/>
  <c r="M296" i="3"/>
  <c r="L296" i="3"/>
  <c r="K296" i="3"/>
  <c r="J296" i="3"/>
  <c r="I296" i="3"/>
  <c r="H296" i="3"/>
  <c r="G296" i="3"/>
  <c r="F296" i="3"/>
  <c r="E296" i="3"/>
  <c r="J282" i="3"/>
  <c r="J281" i="3"/>
  <c r="J280" i="3"/>
  <c r="J279" i="3"/>
  <c r="J277" i="3"/>
  <c r="J276" i="3"/>
  <c r="J275" i="3"/>
  <c r="J274" i="3"/>
  <c r="J272" i="3"/>
  <c r="J271" i="3"/>
  <c r="J270" i="3"/>
  <c r="J269" i="3"/>
  <c r="X259" i="3"/>
  <c r="W259" i="3"/>
  <c r="V259" i="3"/>
  <c r="U259" i="3"/>
  <c r="T259" i="3"/>
  <c r="S259" i="3"/>
  <c r="R259" i="3"/>
  <c r="Q259" i="3"/>
  <c r="P259" i="3"/>
  <c r="O259" i="3"/>
  <c r="N259" i="3"/>
  <c r="M259" i="3"/>
  <c r="BJ250" i="3"/>
  <c r="BJ249" i="3"/>
  <c r="BI249" i="3"/>
  <c r="BH249" i="3"/>
  <c r="BG249" i="3"/>
  <c r="BF249" i="3"/>
  <c r="BE249" i="3"/>
  <c r="BD249" i="3"/>
  <c r="BC249" i="3"/>
  <c r="BB249" i="3"/>
  <c r="BA249" i="3"/>
  <c r="AZ249" i="3"/>
  <c r="AY249" i="3"/>
  <c r="AX249" i="3"/>
  <c r="BC247" i="3"/>
  <c r="BI250" i="3" s="1"/>
  <c r="P210" i="3"/>
  <c r="O210" i="3"/>
  <c r="N210" i="3"/>
  <c r="M210" i="3"/>
  <c r="L210" i="3"/>
  <c r="K210" i="3"/>
  <c r="J210" i="3"/>
  <c r="I210" i="3"/>
  <c r="H210" i="3"/>
  <c r="G210" i="3"/>
  <c r="F210" i="3"/>
  <c r="E210" i="3"/>
  <c r="P208" i="3"/>
  <c r="O208" i="3"/>
  <c r="N208" i="3"/>
  <c r="M208" i="3"/>
  <c r="L208" i="3"/>
  <c r="K208" i="3"/>
  <c r="J208" i="3"/>
  <c r="I208" i="3"/>
  <c r="H208" i="3"/>
  <c r="G208" i="3"/>
  <c r="F208" i="3"/>
  <c r="E208" i="3"/>
  <c r="P207" i="3"/>
  <c r="O207" i="3"/>
  <c r="N207" i="3"/>
  <c r="M207" i="3"/>
  <c r="L207" i="3"/>
  <c r="K207" i="3"/>
  <c r="J207" i="3"/>
  <c r="I207" i="3"/>
  <c r="H207" i="3"/>
  <c r="G207" i="3"/>
  <c r="F207" i="3"/>
  <c r="E207" i="3"/>
  <c r="J194" i="3"/>
  <c r="J193" i="3"/>
  <c r="J192" i="3"/>
  <c r="J191" i="3"/>
  <c r="J189" i="3"/>
  <c r="J188" i="3"/>
  <c r="J187" i="3"/>
  <c r="J186" i="3"/>
  <c r="J184" i="3"/>
  <c r="J183" i="3"/>
  <c r="J182" i="3"/>
  <c r="J181" i="3"/>
  <c r="X171" i="3"/>
  <c r="W171" i="3"/>
  <c r="V171" i="3"/>
  <c r="U171" i="3"/>
  <c r="T171" i="3"/>
  <c r="S171" i="3"/>
  <c r="R171" i="3"/>
  <c r="Q171" i="3"/>
  <c r="P171" i="3"/>
  <c r="O171" i="3"/>
  <c r="N171" i="3"/>
  <c r="M171" i="3"/>
  <c r="BJ162" i="3"/>
  <c r="BJ161" i="3"/>
  <c r="BI161" i="3"/>
  <c r="BH161" i="3"/>
  <c r="BG161" i="3"/>
  <c r="BF161" i="3"/>
  <c r="BE161" i="3"/>
  <c r="BD161" i="3"/>
  <c r="BC161" i="3"/>
  <c r="BB161" i="3"/>
  <c r="BA161" i="3"/>
  <c r="AZ161" i="3"/>
  <c r="AY161" i="3"/>
  <c r="AX161" i="3"/>
  <c r="BC159" i="3"/>
  <c r="BI162" i="3" s="1"/>
  <c r="E34" i="3"/>
  <c r="E32" i="3"/>
  <c r="F31" i="3"/>
  <c r="E31" i="3"/>
  <c r="P122" i="3"/>
  <c r="O122" i="3"/>
  <c r="N122" i="3"/>
  <c r="M122" i="3"/>
  <c r="L122" i="3"/>
  <c r="K122" i="3"/>
  <c r="J122" i="3"/>
  <c r="I122" i="3"/>
  <c r="H122" i="3"/>
  <c r="G122" i="3"/>
  <c r="F122" i="3"/>
  <c r="E122" i="3"/>
  <c r="P120" i="3"/>
  <c r="O120" i="3"/>
  <c r="N120" i="3"/>
  <c r="M120" i="3"/>
  <c r="L120" i="3"/>
  <c r="K120" i="3"/>
  <c r="J120" i="3"/>
  <c r="I120" i="3"/>
  <c r="H120" i="3"/>
  <c r="G120" i="3"/>
  <c r="F120" i="3"/>
  <c r="E120" i="3"/>
  <c r="P119" i="3"/>
  <c r="O119" i="3"/>
  <c r="N119" i="3"/>
  <c r="M119" i="3"/>
  <c r="L119" i="3"/>
  <c r="K119" i="3"/>
  <c r="J119" i="3"/>
  <c r="I119" i="3"/>
  <c r="H119" i="3"/>
  <c r="G119" i="3"/>
  <c r="F119" i="3"/>
  <c r="E119" i="3"/>
  <c r="D156" i="7"/>
  <c r="D136" i="7"/>
  <c r="D116" i="7"/>
  <c r="D96" i="7"/>
  <c r="D76" i="7"/>
  <c r="D56" i="7"/>
  <c r="B164" i="7"/>
  <c r="B144" i="7"/>
  <c r="B124" i="7"/>
  <c r="B104" i="7"/>
  <c r="B84" i="7"/>
  <c r="B71" i="7"/>
  <c r="B69" i="7"/>
  <c r="B68" i="7"/>
  <c r="B66" i="7"/>
  <c r="B59" i="7"/>
  <c r="B55" i="7"/>
  <c r="B54" i="7"/>
  <c r="B169" i="7"/>
  <c r="B168" i="7"/>
  <c r="B166" i="7"/>
  <c r="B162" i="7" a="1"/>
  <c r="B162" i="7" s="1"/>
  <c r="B163" i="7" s="1"/>
  <c r="B161" i="7" a="1"/>
  <c r="B161" i="7" s="1"/>
  <c r="B160" i="7" a="1"/>
  <c r="B160" i="7" s="1"/>
  <c r="B159" i="7"/>
  <c r="B156" i="7"/>
  <c r="B155" i="7"/>
  <c r="B154" i="7"/>
  <c r="B151" i="7"/>
  <c r="B149" i="7"/>
  <c r="B148" i="7"/>
  <c r="B146" i="7"/>
  <c r="B142" i="7" a="1"/>
  <c r="B142" i="7" s="1"/>
  <c r="B143" i="7" s="1"/>
  <c r="B141" i="7" a="1"/>
  <c r="B141" i="7" s="1"/>
  <c r="B140" i="7" a="1"/>
  <c r="B140" i="7" s="1"/>
  <c r="B139" i="7"/>
  <c r="B136" i="7"/>
  <c r="B135" i="7"/>
  <c r="B134" i="7"/>
  <c r="B131" i="7"/>
  <c r="B129" i="7"/>
  <c r="B128" i="7"/>
  <c r="B126" i="7"/>
  <c r="B122" i="7" a="1"/>
  <c r="B122" i="7" s="1"/>
  <c r="B123" i="7" s="1"/>
  <c r="B121" i="7" a="1"/>
  <c r="B121" i="7" s="1"/>
  <c r="B120" i="7" a="1"/>
  <c r="B120" i="7" s="1"/>
  <c r="B119" i="7"/>
  <c r="B116" i="7"/>
  <c r="B115" i="7"/>
  <c r="B114" i="7"/>
  <c r="B111" i="7"/>
  <c r="B109" i="7"/>
  <c r="B108" i="7"/>
  <c r="B106" i="7"/>
  <c r="B102" i="7" a="1"/>
  <c r="B102" i="7" s="1"/>
  <c r="B103" i="7" s="1"/>
  <c r="B101" i="7" a="1"/>
  <c r="B101" i="7" s="1"/>
  <c r="B100" i="7" a="1"/>
  <c r="B100" i="7" s="1"/>
  <c r="B99" i="7"/>
  <c r="B96" i="7"/>
  <c r="B95" i="7"/>
  <c r="B94" i="7"/>
  <c r="B91" i="7"/>
  <c r="B89" i="7"/>
  <c r="B88" i="7"/>
  <c r="B82" i="7" a="1"/>
  <c r="B82" i="7" s="1"/>
  <c r="B83" i="7" s="1"/>
  <c r="B81" i="7" a="1"/>
  <c r="B81" i="7" s="1"/>
  <c r="B80" i="7" a="1"/>
  <c r="B80" i="7" s="1"/>
  <c r="B79" i="7"/>
  <c r="B74" i="7"/>
  <c r="B75" i="7"/>
  <c r="B76" i="7"/>
  <c r="C153" i="7"/>
  <c r="C133" i="7"/>
  <c r="C113" i="7"/>
  <c r="C93" i="7"/>
  <c r="BI4" i="6" a="1"/>
  <c r="BI6" i="6" a="1"/>
  <c r="BI8" i="6" a="1"/>
  <c r="BI7" i="6" a="1"/>
  <c r="BI5" i="6" a="1"/>
  <c r="BI3" i="6" a="1"/>
  <c r="BF3" i="6" a="1"/>
  <c r="I603" i="3" l="1"/>
  <c r="AL600" i="3" s="1"/>
  <c r="AX606" i="3" s="1"/>
  <c r="N483" i="3"/>
  <c r="R486" i="3" s="1"/>
  <c r="N305" i="3"/>
  <c r="AV300" i="3" s="1"/>
  <c r="N216" i="3"/>
  <c r="AV211" i="3" s="1"/>
  <c r="N394" i="3"/>
  <c r="R399" i="3" s="1"/>
  <c r="I160" i="3"/>
  <c r="AL157" i="3" s="1"/>
  <c r="AX163" i="3" s="1"/>
  <c r="AV123" i="3"/>
  <c r="R134" i="3"/>
  <c r="S128" i="3"/>
  <c r="S133" i="3"/>
  <c r="S130" i="3"/>
  <c r="R128" i="3"/>
  <c r="S129" i="3"/>
  <c r="R133" i="3"/>
  <c r="R130" i="3"/>
  <c r="S132" i="3"/>
  <c r="R132" i="3"/>
  <c r="R129" i="3"/>
  <c r="S131" i="3"/>
  <c r="R131" i="3"/>
  <c r="S134" i="3"/>
  <c r="R575" i="3"/>
  <c r="S577" i="3"/>
  <c r="R577" i="3"/>
  <c r="S574" i="3"/>
  <c r="S571" i="3"/>
  <c r="S576" i="3"/>
  <c r="R574" i="3"/>
  <c r="R571" i="3"/>
  <c r="S573" i="3"/>
  <c r="R576" i="3"/>
  <c r="R573" i="3"/>
  <c r="S572" i="3"/>
  <c r="S575" i="3"/>
  <c r="R572" i="3"/>
  <c r="BB247" i="3"/>
  <c r="BB514" i="3"/>
  <c r="BH517" i="3" s="1"/>
  <c r="BB602" i="3"/>
  <c r="BB159" i="3"/>
  <c r="BB336" i="3"/>
  <c r="BA425" i="3"/>
  <c r="AZ425" i="3" s="1"/>
  <c r="BI8" i="6"/>
  <c r="BJ8" i="6" s="1"/>
  <c r="BI7" i="6"/>
  <c r="BJ7" i="6" s="1"/>
  <c r="BI6" i="6"/>
  <c r="BJ6" i="6" s="1"/>
  <c r="BI5" i="6"/>
  <c r="BJ5" i="6" s="1"/>
  <c r="BI4" i="6"/>
  <c r="BJ4" i="6" s="1"/>
  <c r="BI3" i="6"/>
  <c r="BJ3" i="6" s="1"/>
  <c r="E8" i="6"/>
  <c r="E7" i="6"/>
  <c r="E6" i="6"/>
  <c r="E5" i="6"/>
  <c r="E4" i="6"/>
  <c r="E3" i="6"/>
  <c r="I72" i="3"/>
  <c r="AL69" i="3" s="1"/>
  <c r="N40" i="3"/>
  <c r="BA514" i="3"/>
  <c r="BF3" i="6"/>
  <c r="C53" i="7"/>
  <c r="J4" i="6" a="1"/>
  <c r="J7" i="6" a="1"/>
  <c r="P8" i="6" a="1"/>
  <c r="M4" i="6" a="1"/>
  <c r="P7" i="6" a="1"/>
  <c r="J6" i="6" a="1"/>
  <c r="P3" i="6" a="1"/>
  <c r="J8" i="6" a="1"/>
  <c r="J3" i="6" a="1"/>
  <c r="M5" i="6" a="1"/>
  <c r="M7" i="6" a="1"/>
  <c r="P5" i="6" a="1"/>
  <c r="AW3" i="6" a="1"/>
  <c r="M6" i="6" a="1"/>
  <c r="BC3" i="6" a="1"/>
  <c r="M8" i="6" a="1"/>
  <c r="M2" i="6" a="1"/>
  <c r="P6" i="6" a="1"/>
  <c r="J5" i="6" a="1"/>
  <c r="P4" i="6" a="1"/>
  <c r="AV478" i="3" l="1"/>
  <c r="R483" i="3"/>
  <c r="R484" i="3"/>
  <c r="R487" i="3"/>
  <c r="S484" i="3"/>
  <c r="T484" i="3" s="1"/>
  <c r="V484" i="3" s="1"/>
  <c r="S488" i="3"/>
  <c r="U488" i="3" s="1"/>
  <c r="S489" i="3"/>
  <c r="U489" i="3" s="1"/>
  <c r="S483" i="3"/>
  <c r="U483" i="3" s="1"/>
  <c r="R485" i="3"/>
  <c r="S485" i="3"/>
  <c r="T485" i="3" s="1"/>
  <c r="V485" i="3" s="1"/>
  <c r="S486" i="3"/>
  <c r="U486" i="3" s="1"/>
  <c r="R489" i="3"/>
  <c r="R488" i="3"/>
  <c r="S487" i="3"/>
  <c r="R310" i="3"/>
  <c r="S305" i="3"/>
  <c r="U305" i="3" s="1"/>
  <c r="R309" i="3"/>
  <c r="S222" i="3"/>
  <c r="U222" i="3" s="1"/>
  <c r="R306" i="3"/>
  <c r="S309" i="3"/>
  <c r="S310" i="3"/>
  <c r="R219" i="3"/>
  <c r="R307" i="3"/>
  <c r="R311" i="3"/>
  <c r="S218" i="3"/>
  <c r="U218" i="3" s="1"/>
  <c r="R308" i="3"/>
  <c r="S219" i="3"/>
  <c r="S311" i="3"/>
  <c r="U311" i="3" s="1"/>
  <c r="R222" i="3"/>
  <c r="S307" i="3"/>
  <c r="T307" i="3" s="1"/>
  <c r="V307" i="3" s="1"/>
  <c r="R305" i="3"/>
  <c r="S306" i="3"/>
  <c r="U306" i="3" s="1"/>
  <c r="S308" i="3"/>
  <c r="R221" i="3"/>
  <c r="R217" i="3"/>
  <c r="R216" i="3"/>
  <c r="S220" i="3"/>
  <c r="S221" i="3"/>
  <c r="S217" i="3"/>
  <c r="U217" i="3" s="1"/>
  <c r="S216" i="3"/>
  <c r="T216" i="3" s="1"/>
  <c r="V216" i="3" s="1"/>
  <c r="R218" i="3"/>
  <c r="R220" i="3"/>
  <c r="S396" i="3"/>
  <c r="U396" i="3" s="1"/>
  <c r="S399" i="3"/>
  <c r="BF399" i="3" s="1"/>
  <c r="R397" i="3"/>
  <c r="S394" i="3"/>
  <c r="U394" i="3" s="1"/>
  <c r="S397" i="3"/>
  <c r="R398" i="3"/>
  <c r="R395" i="3"/>
  <c r="S398" i="3"/>
  <c r="S395" i="3"/>
  <c r="U395" i="3" s="1"/>
  <c r="R396" i="3"/>
  <c r="R400" i="3"/>
  <c r="AV389" i="3"/>
  <c r="R394" i="3"/>
  <c r="S400" i="3"/>
  <c r="T400" i="3" s="1"/>
  <c r="V400" i="3" s="1"/>
  <c r="I513" i="3"/>
  <c r="S513" i="3" s="1"/>
  <c r="I601" i="3"/>
  <c r="S601" i="3" s="1"/>
  <c r="I424" i="3"/>
  <c r="S424" i="3" s="1"/>
  <c r="I246" i="3"/>
  <c r="S246" i="3" s="1"/>
  <c r="I335" i="3"/>
  <c r="S335" i="3" s="1"/>
  <c r="I158" i="3"/>
  <c r="S158" i="3" s="1"/>
  <c r="U576" i="3"/>
  <c r="T576" i="3"/>
  <c r="V576" i="3" s="1"/>
  <c r="U575" i="3"/>
  <c r="T575" i="3"/>
  <c r="V575" i="3" s="1"/>
  <c r="U571" i="3"/>
  <c r="T571" i="3"/>
  <c r="V571" i="3" s="1"/>
  <c r="U133" i="3"/>
  <c r="T133" i="3"/>
  <c r="V133" i="3" s="1"/>
  <c r="U572" i="3"/>
  <c r="T572" i="3"/>
  <c r="V572" i="3" s="1"/>
  <c r="T574" i="3"/>
  <c r="V574" i="3" s="1"/>
  <c r="U574" i="3"/>
  <c r="BA132" i="3"/>
  <c r="BH132" i="3"/>
  <c r="AZ132" i="3"/>
  <c r="BE132" i="3"/>
  <c r="BG132" i="3"/>
  <c r="AY132" i="3"/>
  <c r="AW132" i="3"/>
  <c r="BF132" i="3"/>
  <c r="AX132" i="3"/>
  <c r="BD132" i="3"/>
  <c r="BC132" i="3"/>
  <c r="BB132" i="3"/>
  <c r="U128" i="3"/>
  <c r="T128" i="3"/>
  <c r="V128" i="3" s="1"/>
  <c r="T131" i="3"/>
  <c r="V131" i="3" s="1"/>
  <c r="U131" i="3"/>
  <c r="BA577" i="3"/>
  <c r="BH577" i="3"/>
  <c r="AZ577" i="3"/>
  <c r="BG577" i="3"/>
  <c r="AY577" i="3"/>
  <c r="BF577" i="3"/>
  <c r="AX577" i="3"/>
  <c r="BE577" i="3"/>
  <c r="AW577" i="3"/>
  <c r="BD577" i="3"/>
  <c r="BC577" i="3"/>
  <c r="BB577" i="3"/>
  <c r="U132" i="3"/>
  <c r="T132" i="3"/>
  <c r="V132" i="3" s="1"/>
  <c r="BA134" i="3"/>
  <c r="BH134" i="3"/>
  <c r="AZ134" i="3"/>
  <c r="BG134" i="3"/>
  <c r="AY134" i="3"/>
  <c r="BF134" i="3"/>
  <c r="AX134" i="3"/>
  <c r="AW134" i="3"/>
  <c r="BE134" i="3"/>
  <c r="BD134" i="3"/>
  <c r="BB134" i="3"/>
  <c r="BC134" i="3"/>
  <c r="BA573" i="3"/>
  <c r="BH573" i="3"/>
  <c r="AZ573" i="3"/>
  <c r="BG573" i="3"/>
  <c r="AY573" i="3"/>
  <c r="BF573" i="3"/>
  <c r="AX573" i="3"/>
  <c r="BE573" i="3"/>
  <c r="AW573" i="3"/>
  <c r="BD573" i="3"/>
  <c r="BC573" i="3"/>
  <c r="BB573" i="3"/>
  <c r="BE576" i="3"/>
  <c r="AW576" i="3"/>
  <c r="BD576" i="3"/>
  <c r="BC576" i="3"/>
  <c r="BB576" i="3"/>
  <c r="BA576" i="3"/>
  <c r="BH576" i="3"/>
  <c r="AZ576" i="3"/>
  <c r="BF576" i="3"/>
  <c r="BG576" i="3"/>
  <c r="AY576" i="3"/>
  <c r="AX576" i="3"/>
  <c r="U577" i="3"/>
  <c r="T577" i="3"/>
  <c r="V577" i="3" s="1"/>
  <c r="BA130" i="3"/>
  <c r="BH130" i="3"/>
  <c r="AZ130" i="3"/>
  <c r="AW130" i="3"/>
  <c r="BG130" i="3"/>
  <c r="AY130" i="3"/>
  <c r="BF130" i="3"/>
  <c r="AX130" i="3"/>
  <c r="BE130" i="3"/>
  <c r="BD130" i="3"/>
  <c r="BC130" i="3"/>
  <c r="BB130" i="3"/>
  <c r="U573" i="3"/>
  <c r="T573" i="3"/>
  <c r="V573" i="3" s="1"/>
  <c r="BE133" i="3"/>
  <c r="AW133" i="3"/>
  <c r="BA133" i="3"/>
  <c r="BD133" i="3"/>
  <c r="BC133" i="3"/>
  <c r="BB133" i="3"/>
  <c r="AX133" i="3"/>
  <c r="BH133" i="3"/>
  <c r="AZ133" i="3"/>
  <c r="BG133" i="3"/>
  <c r="AY133" i="3"/>
  <c r="BF133" i="3"/>
  <c r="T130" i="3"/>
  <c r="V130" i="3" s="1"/>
  <c r="U130" i="3"/>
  <c r="U134" i="3"/>
  <c r="T134" i="3"/>
  <c r="V134" i="3" s="1"/>
  <c r="U129" i="3"/>
  <c r="T129" i="3"/>
  <c r="V129" i="3" s="1"/>
  <c r="BE131" i="3"/>
  <c r="AW131" i="3"/>
  <c r="BD131" i="3"/>
  <c r="BC131" i="3"/>
  <c r="BB131" i="3"/>
  <c r="BA131" i="3"/>
  <c r="BH131" i="3"/>
  <c r="AZ131" i="3"/>
  <c r="BG131" i="3"/>
  <c r="AY131" i="3"/>
  <c r="BF131" i="3"/>
  <c r="AX131" i="3"/>
  <c r="R44" i="3"/>
  <c r="R40" i="3"/>
  <c r="S43" i="3"/>
  <c r="R43" i="3"/>
  <c r="S46" i="3"/>
  <c r="S42" i="3"/>
  <c r="R46" i="3"/>
  <c r="R42" i="3"/>
  <c r="S45" i="3"/>
  <c r="S41" i="3"/>
  <c r="R45" i="3"/>
  <c r="R41" i="3"/>
  <c r="S44" i="3"/>
  <c r="S40" i="3"/>
  <c r="BG428" i="3"/>
  <c r="BH250" i="3"/>
  <c r="BA247" i="3"/>
  <c r="BH339" i="3"/>
  <c r="BA336" i="3"/>
  <c r="BH162" i="3"/>
  <c r="BA159" i="3"/>
  <c r="BH605" i="3"/>
  <c r="BA602" i="3"/>
  <c r="AZ514" i="3"/>
  <c r="BG517" i="3"/>
  <c r="AY425" i="3"/>
  <c r="BF428" i="3"/>
  <c r="BC3" i="6"/>
  <c r="AW3" i="6"/>
  <c r="AX3" i="6" s="1"/>
  <c r="P6" i="6"/>
  <c r="P4" i="6"/>
  <c r="P7" i="6"/>
  <c r="Q2" i="6"/>
  <c r="Y2" i="6" s="1" a="1"/>
  <c r="P5" i="6"/>
  <c r="P8" i="6"/>
  <c r="P3" i="6"/>
  <c r="M8" i="6"/>
  <c r="M7" i="6"/>
  <c r="M6" i="6"/>
  <c r="M4" i="6"/>
  <c r="M5" i="6"/>
  <c r="M2" i="6"/>
  <c r="N2" i="6" s="1"/>
  <c r="J7" i="6"/>
  <c r="J6" i="6"/>
  <c r="J5" i="6"/>
  <c r="J8" i="6"/>
  <c r="J4" i="6"/>
  <c r="J3" i="6"/>
  <c r="Y2" i="6" l="1"/>
  <c r="BA486" i="3"/>
  <c r="T305" i="3"/>
  <c r="V305" i="3" s="1"/>
  <c r="BH485" i="3"/>
  <c r="BB218" i="3"/>
  <c r="BF488" i="3"/>
  <c r="BG486" i="3"/>
  <c r="AW486" i="3"/>
  <c r="AY485" i="3"/>
  <c r="AZ485" i="3"/>
  <c r="U484" i="3"/>
  <c r="BA488" i="3"/>
  <c r="BG488" i="3"/>
  <c r="BE485" i="3"/>
  <c r="BB486" i="3"/>
  <c r="AY488" i="3"/>
  <c r="BF486" i="3"/>
  <c r="T486" i="3"/>
  <c r="V486" i="3" s="1"/>
  <c r="BD488" i="3"/>
  <c r="AW485" i="3"/>
  <c r="AY486" i="3"/>
  <c r="U485" i="3"/>
  <c r="BA485" i="3"/>
  <c r="BC486" i="3"/>
  <c r="T483" i="3"/>
  <c r="V483" i="3" s="1"/>
  <c r="AX486" i="3"/>
  <c r="BD486" i="3"/>
  <c r="BC485" i="3"/>
  <c r="AZ486" i="3"/>
  <c r="BE486" i="3"/>
  <c r="AY487" i="3"/>
  <c r="BH486" i="3"/>
  <c r="BH488" i="3"/>
  <c r="BG485" i="3"/>
  <c r="BB489" i="3"/>
  <c r="BG489" i="3"/>
  <c r="BB488" i="3"/>
  <c r="T487" i="3"/>
  <c r="V487" i="3" s="1"/>
  <c r="BG487" i="3"/>
  <c r="BC488" i="3"/>
  <c r="BD485" i="3"/>
  <c r="U487" i="3"/>
  <c r="BC489" i="3"/>
  <c r="AX488" i="3"/>
  <c r="AW488" i="3"/>
  <c r="T489" i="3"/>
  <c r="V489" i="3" s="1"/>
  <c r="BF485" i="3"/>
  <c r="AX489" i="3"/>
  <c r="AZ488" i="3"/>
  <c r="BE488" i="3"/>
  <c r="BF489" i="3"/>
  <c r="BB487" i="3"/>
  <c r="BD487" i="3"/>
  <c r="T488" i="3"/>
  <c r="V488" i="3" s="1"/>
  <c r="BF487" i="3"/>
  <c r="AX485" i="3"/>
  <c r="BH487" i="3"/>
  <c r="BB485" i="3"/>
  <c r="BC310" i="3"/>
  <c r="AY489" i="3"/>
  <c r="BC487" i="3"/>
  <c r="AZ487" i="3"/>
  <c r="BD489" i="3"/>
  <c r="AZ489" i="3"/>
  <c r="AW487" i="3"/>
  <c r="BA487" i="3"/>
  <c r="AW489" i="3"/>
  <c r="BH489" i="3"/>
  <c r="BE487" i="3"/>
  <c r="BE489" i="3"/>
  <c r="BA489" i="3"/>
  <c r="AX487" i="3"/>
  <c r="T222" i="3"/>
  <c r="V222" i="3" s="1"/>
  <c r="BA221" i="3"/>
  <c r="AY222" i="3"/>
  <c r="BF310" i="3"/>
  <c r="AY310" i="3"/>
  <c r="AX310" i="3"/>
  <c r="BD310" i="3"/>
  <c r="BH309" i="3"/>
  <c r="AX220" i="3"/>
  <c r="BC399" i="3"/>
  <c r="BF311" i="3"/>
  <c r="U399" i="3"/>
  <c r="T309" i="3"/>
  <c r="V309" i="3" s="1"/>
  <c r="AX399" i="3"/>
  <c r="BA399" i="3"/>
  <c r="BB308" i="3"/>
  <c r="T399" i="3"/>
  <c r="V399" i="3" s="1"/>
  <c r="U309" i="3"/>
  <c r="BB399" i="3"/>
  <c r="AY399" i="3"/>
  <c r="BD399" i="3"/>
  <c r="AY311" i="3"/>
  <c r="BC309" i="3"/>
  <c r="BE309" i="3"/>
  <c r="BG399" i="3"/>
  <c r="AW399" i="3"/>
  <c r="AZ399" i="3"/>
  <c r="BE399" i="3"/>
  <c r="BG309" i="3"/>
  <c r="BH399" i="3"/>
  <c r="T311" i="3"/>
  <c r="V311" i="3" s="1"/>
  <c r="AW309" i="3"/>
  <c r="AW219" i="3"/>
  <c r="AZ309" i="3"/>
  <c r="BG310" i="3"/>
  <c r="AW310" i="3"/>
  <c r="AZ310" i="3"/>
  <c r="BE310" i="3"/>
  <c r="BH310" i="3"/>
  <c r="T310" i="3"/>
  <c r="V310" i="3" s="1"/>
  <c r="BA310" i="3"/>
  <c r="BG222" i="3"/>
  <c r="U310" i="3"/>
  <c r="BF219" i="3"/>
  <c r="BB310" i="3"/>
  <c r="BB309" i="3"/>
  <c r="BA309" i="3"/>
  <c r="AX309" i="3"/>
  <c r="BF309" i="3"/>
  <c r="AY309" i="3"/>
  <c r="BD309" i="3"/>
  <c r="T394" i="3"/>
  <c r="V394" i="3" s="1"/>
  <c r="AX311" i="3"/>
  <c r="BC311" i="3"/>
  <c r="BG311" i="3"/>
  <c r="BB311" i="3"/>
  <c r="AZ311" i="3"/>
  <c r="BD311" i="3"/>
  <c r="BH311" i="3"/>
  <c r="AW311" i="3"/>
  <c r="BA311" i="3"/>
  <c r="BE311" i="3"/>
  <c r="T308" i="3"/>
  <c r="V308" i="3" s="1"/>
  <c r="BH308" i="3"/>
  <c r="BF308" i="3"/>
  <c r="BA219" i="3"/>
  <c r="BE308" i="3"/>
  <c r="U308" i="3"/>
  <c r="AZ219" i="3"/>
  <c r="BE219" i="3"/>
  <c r="U219" i="3"/>
  <c r="T395" i="3"/>
  <c r="V395" i="3" s="1"/>
  <c r="BB219" i="3"/>
  <c r="BC308" i="3"/>
  <c r="T218" i="3"/>
  <c r="V218" i="3" s="1"/>
  <c r="BC219" i="3"/>
  <c r="AX308" i="3"/>
  <c r="BA308" i="3"/>
  <c r="BH219" i="3"/>
  <c r="T396" i="3"/>
  <c r="V396" i="3" s="1"/>
  <c r="AX219" i="3"/>
  <c r="AW218" i="3"/>
  <c r="AY308" i="3"/>
  <c r="BD308" i="3"/>
  <c r="BF221" i="3"/>
  <c r="AY219" i="3"/>
  <c r="BD219" i="3"/>
  <c r="BG308" i="3"/>
  <c r="AW308" i="3"/>
  <c r="BE220" i="3"/>
  <c r="T219" i="3"/>
  <c r="V219" i="3" s="1"/>
  <c r="BG219" i="3"/>
  <c r="AZ308" i="3"/>
  <c r="BF220" i="3"/>
  <c r="BC222" i="3"/>
  <c r="AZ222" i="3"/>
  <c r="AY220" i="3"/>
  <c r="BD222" i="3"/>
  <c r="BH222" i="3"/>
  <c r="BB220" i="3"/>
  <c r="BG220" i="3"/>
  <c r="AW222" i="3"/>
  <c r="BB222" i="3"/>
  <c r="BC220" i="3"/>
  <c r="AZ220" i="3"/>
  <c r="BE222" i="3"/>
  <c r="BA222" i="3"/>
  <c r="T220" i="3"/>
  <c r="V220" i="3" s="1"/>
  <c r="BD220" i="3"/>
  <c r="BH220" i="3"/>
  <c r="AX222" i="3"/>
  <c r="U220" i="3"/>
  <c r="AW220" i="3"/>
  <c r="BA220" i="3"/>
  <c r="BF222" i="3"/>
  <c r="AW307" i="3"/>
  <c r="BA307" i="3"/>
  <c r="BE397" i="3"/>
  <c r="AX397" i="3"/>
  <c r="T306" i="3"/>
  <c r="V306" i="3" s="1"/>
  <c r="U216" i="3"/>
  <c r="BF307" i="3"/>
  <c r="BB221" i="3"/>
  <c r="U307" i="3"/>
  <c r="BE396" i="3"/>
  <c r="AY307" i="3"/>
  <c r="AX221" i="3"/>
  <c r="BC221" i="3"/>
  <c r="BG307" i="3"/>
  <c r="AY221" i="3"/>
  <c r="BD221" i="3"/>
  <c r="BC307" i="3"/>
  <c r="AZ307" i="3"/>
  <c r="BG221" i="3"/>
  <c r="AW221" i="3"/>
  <c r="BB307" i="3"/>
  <c r="BH307" i="3"/>
  <c r="AZ221" i="3"/>
  <c r="BE221" i="3"/>
  <c r="T221" i="3"/>
  <c r="V221" i="3" s="1"/>
  <c r="BD307" i="3"/>
  <c r="BE307" i="3"/>
  <c r="BH221" i="3"/>
  <c r="U221" i="3"/>
  <c r="AX307" i="3"/>
  <c r="AW397" i="3"/>
  <c r="AZ397" i="3"/>
  <c r="U397" i="3"/>
  <c r="BH397" i="3"/>
  <c r="T397" i="3"/>
  <c r="V397" i="3" s="1"/>
  <c r="BA397" i="3"/>
  <c r="BB397" i="3"/>
  <c r="BF397" i="3"/>
  <c r="BC397" i="3"/>
  <c r="T217" i="3"/>
  <c r="V217" i="3" s="1"/>
  <c r="AY397" i="3"/>
  <c r="BD397" i="3"/>
  <c r="BG397" i="3"/>
  <c r="AY218" i="3"/>
  <c r="BG218" i="3"/>
  <c r="BC218" i="3"/>
  <c r="BE218" i="3"/>
  <c r="BD218" i="3"/>
  <c r="AZ218" i="3"/>
  <c r="AX218" i="3"/>
  <c r="BH218" i="3"/>
  <c r="BF218" i="3"/>
  <c r="BA218" i="3"/>
  <c r="BH398" i="3"/>
  <c r="T398" i="3"/>
  <c r="V398" i="3" s="1"/>
  <c r="U398" i="3"/>
  <c r="BD398" i="3"/>
  <c r="AY396" i="3"/>
  <c r="BA398" i="3"/>
  <c r="BG400" i="3"/>
  <c r="BC400" i="3"/>
  <c r="AZ400" i="3"/>
  <c r="BE398" i="3"/>
  <c r="AW400" i="3"/>
  <c r="BA400" i="3"/>
  <c r="AX398" i="3"/>
  <c r="BE400" i="3"/>
  <c r="BF398" i="3"/>
  <c r="BD400" i="3"/>
  <c r="AX400" i="3"/>
  <c r="AY398" i="3"/>
  <c r="BF400" i="3"/>
  <c r="BC398" i="3"/>
  <c r="BG398" i="3"/>
  <c r="BH400" i="3"/>
  <c r="AY400" i="3"/>
  <c r="BB398" i="3"/>
  <c r="AZ398" i="3"/>
  <c r="U400" i="3"/>
  <c r="BB400" i="3"/>
  <c r="AW398" i="3"/>
  <c r="AX396" i="3"/>
  <c r="BF396" i="3"/>
  <c r="BB396" i="3"/>
  <c r="BG396" i="3"/>
  <c r="BC396" i="3"/>
  <c r="AZ396" i="3"/>
  <c r="BD396" i="3"/>
  <c r="BH396" i="3"/>
  <c r="AW396" i="3"/>
  <c r="BA396" i="3"/>
  <c r="BD46" i="3"/>
  <c r="BC46" i="3"/>
  <c r="BB46" i="3"/>
  <c r="BA46" i="3"/>
  <c r="BH46" i="3"/>
  <c r="AZ46" i="3"/>
  <c r="BG46" i="3"/>
  <c r="AY46" i="3"/>
  <c r="BF46" i="3"/>
  <c r="AX46" i="3"/>
  <c r="BE46" i="3"/>
  <c r="AW46" i="3"/>
  <c r="U42" i="3"/>
  <c r="T42" i="3"/>
  <c r="V42" i="3" s="1"/>
  <c r="U44" i="3"/>
  <c r="T44" i="3"/>
  <c r="V44" i="3" s="1"/>
  <c r="U46" i="3"/>
  <c r="T46" i="3"/>
  <c r="V46" i="3" s="1"/>
  <c r="BD42" i="3"/>
  <c r="BC42" i="3"/>
  <c r="BB42" i="3"/>
  <c r="BA42" i="3"/>
  <c r="BH42" i="3"/>
  <c r="AZ42" i="3"/>
  <c r="BG42" i="3"/>
  <c r="AY42" i="3"/>
  <c r="BF42" i="3"/>
  <c r="AX42" i="3"/>
  <c r="BE42" i="3"/>
  <c r="AW42" i="3"/>
  <c r="BH43" i="3"/>
  <c r="AZ43" i="3"/>
  <c r="BG43" i="3"/>
  <c r="AY43" i="3"/>
  <c r="BF43" i="3"/>
  <c r="AX43" i="3"/>
  <c r="BE43" i="3"/>
  <c r="AW43" i="3"/>
  <c r="BD43" i="3"/>
  <c r="BC43" i="3"/>
  <c r="BB43" i="3"/>
  <c r="BA43" i="3"/>
  <c r="U40" i="3"/>
  <c r="T40" i="3"/>
  <c r="V40" i="3" s="1"/>
  <c r="BH45" i="3"/>
  <c r="AZ45" i="3"/>
  <c r="BG45" i="3"/>
  <c r="AY45" i="3"/>
  <c r="BF45" i="3"/>
  <c r="AX45" i="3"/>
  <c r="BE45" i="3"/>
  <c r="AW45" i="3"/>
  <c r="BD45" i="3"/>
  <c r="BC45" i="3"/>
  <c r="BB45" i="3"/>
  <c r="BA45" i="3"/>
  <c r="T43" i="3"/>
  <c r="V43" i="3" s="1"/>
  <c r="U43" i="3"/>
  <c r="U41" i="3"/>
  <c r="T41" i="3"/>
  <c r="V41" i="3" s="1"/>
  <c r="U45" i="3"/>
  <c r="T45" i="3"/>
  <c r="V45" i="3" s="1"/>
  <c r="BD44" i="3"/>
  <c r="BC44" i="3"/>
  <c r="BB44" i="3"/>
  <c r="BA44" i="3"/>
  <c r="BH44" i="3"/>
  <c r="AZ44" i="3"/>
  <c r="BG44" i="3"/>
  <c r="AY44" i="3"/>
  <c r="BF44" i="3"/>
  <c r="AX44" i="3"/>
  <c r="BE44" i="3"/>
  <c r="AW44" i="3"/>
  <c r="I70" i="3"/>
  <c r="S70" i="3" s="1"/>
  <c r="AZ159" i="3"/>
  <c r="BG162" i="3"/>
  <c r="AZ336" i="3"/>
  <c r="BG339" i="3"/>
  <c r="AZ247" i="3"/>
  <c r="BG250" i="3"/>
  <c r="AZ602" i="3"/>
  <c r="BG605" i="3"/>
  <c r="AY514" i="3"/>
  <c r="BF517" i="3"/>
  <c r="AX425" i="3"/>
  <c r="BE428" i="3"/>
  <c r="AE2" i="6" a="1"/>
  <c r="AB2" i="6" a="1"/>
  <c r="V2" i="6" a="1"/>
  <c r="AH2" i="6" a="1"/>
  <c r="S2" i="6" a="1"/>
  <c r="AB2" i="6" l="1"/>
  <c r="S2" i="6"/>
  <c r="AH2" i="6"/>
  <c r="AI2" i="6" s="1"/>
  <c r="AE2" i="6"/>
  <c r="AT2" i="6" s="1"/>
  <c r="V2" i="6"/>
  <c r="AY602" i="3"/>
  <c r="BF605" i="3"/>
  <c r="AY247" i="3"/>
  <c r="BF250" i="3"/>
  <c r="BF339" i="3"/>
  <c r="AY336" i="3"/>
  <c r="AY159" i="3"/>
  <c r="BF162" i="3"/>
  <c r="AX514" i="3"/>
  <c r="BE517" i="3"/>
  <c r="BE425" i="3"/>
  <c r="BD428" i="3"/>
  <c r="AR2" i="6" l="1"/>
  <c r="AS2" i="6"/>
  <c r="AX602" i="3"/>
  <c r="BE605" i="3"/>
  <c r="AX159" i="3"/>
  <c r="BE162" i="3"/>
  <c r="AX336" i="3"/>
  <c r="BE339" i="3"/>
  <c r="AX247" i="3"/>
  <c r="BE250" i="3"/>
  <c r="BE514" i="3"/>
  <c r="BD517" i="3"/>
  <c r="BF425" i="3"/>
  <c r="BC428" i="3"/>
  <c r="AL2" i="6" a="1"/>
  <c r="AL2" i="6" s="1"/>
  <c r="AN2" i="6" s="1"/>
  <c r="AP2" i="6" s="1"/>
  <c r="AU2" i="6" l="1"/>
  <c r="D24" i="3" s="1"/>
  <c r="AQ2" i="6"/>
  <c r="BE336" i="3"/>
  <c r="BD339" i="3"/>
  <c r="BD605" i="3"/>
  <c r="BE602" i="3"/>
  <c r="BD250" i="3"/>
  <c r="BE247" i="3"/>
  <c r="BE159" i="3"/>
  <c r="BD162" i="3"/>
  <c r="BF514" i="3"/>
  <c r="BC517" i="3"/>
  <c r="BB428" i="3"/>
  <c r="BG425" i="3"/>
  <c r="AM2" i="6"/>
  <c r="B42" i="7" a="1"/>
  <c r="B42" i="7" s="1"/>
  <c r="B43" i="7" s="1"/>
  <c r="C43" i="7" s="1"/>
  <c r="AG25" i="6"/>
  <c r="AH25" i="6" s="1"/>
  <c r="AI25" i="6" s="1"/>
  <c r="AJ25" i="6" s="1"/>
  <c r="AK25" i="6" s="1"/>
  <c r="AL25" i="6" s="1"/>
  <c r="BC162" i="3" l="1"/>
  <c r="BF159" i="3"/>
  <c r="BF247" i="3"/>
  <c r="BC250" i="3"/>
  <c r="BC605" i="3"/>
  <c r="BF602" i="3"/>
  <c r="BF336" i="3"/>
  <c r="BC339" i="3"/>
  <c r="E24" i="3"/>
  <c r="BB517" i="3"/>
  <c r="BG514" i="3"/>
  <c r="BA428" i="3"/>
  <c r="BH425" i="3"/>
  <c r="C44" i="7"/>
  <c r="AW2" i="6" a="1"/>
  <c r="BC2" i="6" a="1"/>
  <c r="B6" i="9" l="1"/>
  <c r="BG2" i="6"/>
  <c r="I68" i="3" s="1"/>
  <c r="BC2" i="6"/>
  <c r="BD2" i="6" s="1"/>
  <c r="AW2" i="6"/>
  <c r="BB339" i="3"/>
  <c r="BG336" i="3"/>
  <c r="BB605" i="3"/>
  <c r="BG602" i="3"/>
  <c r="BB250" i="3"/>
  <c r="BG247" i="3"/>
  <c r="BB162" i="3"/>
  <c r="BG159" i="3"/>
  <c r="BA517" i="3"/>
  <c r="BH514" i="3"/>
  <c r="BI425" i="3"/>
  <c r="AZ428" i="3"/>
  <c r="K8" i="6"/>
  <c r="N8" i="6" s="1"/>
  <c r="Q8" i="6"/>
  <c r="Y8" i="6" s="1" a="1"/>
  <c r="Y8" i="6" s="1"/>
  <c r="K7" i="6"/>
  <c r="N7" i="6" s="1"/>
  <c r="Q7" i="6"/>
  <c r="Y7" i="6" s="1" a="1"/>
  <c r="Y7" i="6" s="1"/>
  <c r="K6" i="6"/>
  <c r="N6" i="6" s="1"/>
  <c r="Q6" i="6"/>
  <c r="Y6" i="6" s="1" a="1"/>
  <c r="Y6" i="6" s="1"/>
  <c r="Q5" i="6"/>
  <c r="Y5" i="6" s="1" a="1"/>
  <c r="Y5" i="6" s="1"/>
  <c r="Q4" i="6"/>
  <c r="Y4" i="6" s="1" a="1"/>
  <c r="Y4" i="6" s="1"/>
  <c r="Q3" i="6"/>
  <c r="Y3" i="6" s="1" a="1"/>
  <c r="BG3" i="6"/>
  <c r="I156" i="3" s="1"/>
  <c r="BD3" i="6"/>
  <c r="L128" i="3"/>
  <c r="M130" i="3" s="1"/>
  <c r="K5" i="6"/>
  <c r="N5" i="6" s="1"/>
  <c r="K4" i="6"/>
  <c r="N4" i="6" s="1"/>
  <c r="K3" i="6"/>
  <c r="N3" i="6" s="1"/>
  <c r="BN604" i="3"/>
  <c r="BM604" i="3"/>
  <c r="BL604" i="3"/>
  <c r="BL605" i="3"/>
  <c r="BN517" i="3"/>
  <c r="BN516" i="3"/>
  <c r="BM516" i="3"/>
  <c r="BL516" i="3"/>
  <c r="BN428" i="3"/>
  <c r="BN427" i="3"/>
  <c r="BM427" i="3"/>
  <c r="BL427" i="3"/>
  <c r="BM428" i="3"/>
  <c r="BN338" i="3"/>
  <c r="BM338" i="3"/>
  <c r="BL338" i="3"/>
  <c r="BM339" i="3"/>
  <c r="BN249" i="3"/>
  <c r="BM249" i="3"/>
  <c r="BL249" i="3"/>
  <c r="BN161" i="3"/>
  <c r="BM161" i="3"/>
  <c r="BL161" i="3"/>
  <c r="BL162" i="3"/>
  <c r="Y3" i="6" l="1"/>
  <c r="B13" i="9"/>
  <c r="D6" i="9"/>
  <c r="D13" i="9"/>
  <c r="AX2" i="6"/>
  <c r="L40" i="3" s="1"/>
  <c r="S69" i="3"/>
  <c r="AF68" i="3" s="1"/>
  <c r="AL68" i="3"/>
  <c r="D28" i="3" a="1"/>
  <c r="D28" i="3" s="1"/>
  <c r="D29" i="3"/>
  <c r="BA250" i="3"/>
  <c r="BH247" i="3"/>
  <c r="BA605" i="3"/>
  <c r="BH602" i="3"/>
  <c r="BH336" i="3"/>
  <c r="BA339" i="3"/>
  <c r="BM250" i="3"/>
  <c r="BA162" i="3"/>
  <c r="BH159" i="3"/>
  <c r="M129" i="3"/>
  <c r="S157" i="3"/>
  <c r="AF156" i="3" s="1"/>
  <c r="D116" i="3" a="1"/>
  <c r="D116" i="3" s="1"/>
  <c r="BI514" i="3"/>
  <c r="AZ517" i="3"/>
  <c r="AY428" i="3"/>
  <c r="BJ425" i="3"/>
  <c r="AX428" i="3" s="1"/>
  <c r="AL156" i="3"/>
  <c r="D117" i="3"/>
  <c r="BL428" i="3"/>
  <c r="BM162" i="3"/>
  <c r="BL339" i="3"/>
  <c r="BL250" i="3"/>
  <c r="BM517" i="3"/>
  <c r="BL517" i="3"/>
  <c r="BM605" i="3"/>
  <c r="AX75" i="3"/>
  <c r="BJ74" i="3"/>
  <c r="BJ73" i="3"/>
  <c r="BI73" i="3"/>
  <c r="BH73" i="3"/>
  <c r="BG73" i="3"/>
  <c r="BF73" i="3"/>
  <c r="BE73" i="3"/>
  <c r="BD73" i="3"/>
  <c r="BC73" i="3"/>
  <c r="BB73" i="3"/>
  <c r="BA73" i="3"/>
  <c r="AZ73" i="3"/>
  <c r="AY73" i="3"/>
  <c r="AX73" i="3"/>
  <c r="BC71" i="3"/>
  <c r="BI74" i="3" s="1"/>
  <c r="J106" i="3"/>
  <c r="J105" i="3"/>
  <c r="J104" i="3"/>
  <c r="J103" i="3"/>
  <c r="J101" i="3"/>
  <c r="J100" i="3"/>
  <c r="J99" i="3"/>
  <c r="J98" i="3"/>
  <c r="J96" i="3"/>
  <c r="J95" i="3"/>
  <c r="J94" i="3"/>
  <c r="J93" i="3"/>
  <c r="M83" i="3"/>
  <c r="N83" i="3"/>
  <c r="O83" i="3"/>
  <c r="P83" i="3"/>
  <c r="Q83" i="3"/>
  <c r="R83" i="3"/>
  <c r="S83" i="3"/>
  <c r="T83" i="3"/>
  <c r="U83" i="3"/>
  <c r="V83" i="3"/>
  <c r="W83" i="3"/>
  <c r="X83" i="3"/>
  <c r="B16" i="9" l="1"/>
  <c r="M42" i="3"/>
  <c r="I74" i="3" s="1"/>
  <c r="I75" i="3" s="1"/>
  <c r="S71" i="3" s="1"/>
  <c r="AF67" i="3" s="1"/>
  <c r="M41" i="3"/>
  <c r="AE42" i="3" s="1" a="1"/>
  <c r="AE42" i="3" s="1"/>
  <c r="P28" i="3"/>
  <c r="O28" i="3"/>
  <c r="I28" i="3"/>
  <c r="J28" i="3"/>
  <c r="M28" i="3"/>
  <c r="N28" i="3"/>
  <c r="K28" i="3"/>
  <c r="G28" i="3"/>
  <c r="F28" i="3"/>
  <c r="L28" i="3"/>
  <c r="AX430" i="3"/>
  <c r="BN339" i="3"/>
  <c r="BI336" i="3"/>
  <c r="AZ339" i="3"/>
  <c r="BN605" i="3"/>
  <c r="BI602" i="3"/>
  <c r="AZ605" i="3"/>
  <c r="BI159" i="3"/>
  <c r="AZ162" i="3"/>
  <c r="BN162" i="3"/>
  <c r="BI247" i="3"/>
  <c r="AZ250" i="3"/>
  <c r="BN250" i="3"/>
  <c r="I162" i="3"/>
  <c r="I163" i="3" s="1"/>
  <c r="H28" i="3"/>
  <c r="E28" i="3"/>
  <c r="H24" i="3"/>
  <c r="M24" i="3"/>
  <c r="P24" i="3"/>
  <c r="F24" i="3"/>
  <c r="N24" i="3"/>
  <c r="I24" i="3"/>
  <c r="J24" i="3"/>
  <c r="G24" i="3"/>
  <c r="K24" i="3"/>
  <c r="L24" i="3"/>
  <c r="O24" i="3"/>
  <c r="P116" i="3"/>
  <c r="E116" i="3"/>
  <c r="AY517" i="3"/>
  <c r="BJ514" i="3"/>
  <c r="AX517" i="3" s="1"/>
  <c r="AA132" i="3" a="1"/>
  <c r="AA132" i="3" s="1"/>
  <c r="AM131" i="3" a="1"/>
  <c r="AM131" i="3" s="1"/>
  <c r="AE128" i="3" a="1"/>
  <c r="AE128" i="3" s="1"/>
  <c r="BE128" i="3" s="1"/>
  <c r="AD133" i="3" a="1"/>
  <c r="AD133" i="3" s="1"/>
  <c r="AD130" i="3" a="1"/>
  <c r="AD130" i="3" s="1"/>
  <c r="AM128" i="3" a="1"/>
  <c r="AM128" i="3" s="1"/>
  <c r="AF128" i="3" a="1"/>
  <c r="AF128" i="3" s="1"/>
  <c r="BF128" i="3" s="1"/>
  <c r="AK128" i="3" a="1"/>
  <c r="AK128" i="3" s="1"/>
  <c r="AQ128" i="3" a="1"/>
  <c r="AQ128" i="3" s="1"/>
  <c r="AR131" i="3" a="1"/>
  <c r="AR131" i="3" s="1"/>
  <c r="AR129" i="3" a="1"/>
  <c r="AR129" i="3" s="1"/>
  <c r="AE132" i="3" a="1"/>
  <c r="AE132" i="3" s="1"/>
  <c r="AK129" i="3" a="1"/>
  <c r="AK129" i="3" s="1"/>
  <c r="AO132" i="3" a="1"/>
  <c r="AO132" i="3" s="1"/>
  <c r="AD134" i="3" a="1"/>
  <c r="AD134" i="3" s="1"/>
  <c r="Y128" i="3" a="1"/>
  <c r="Y128" i="3" s="1"/>
  <c r="AY128" i="3" s="1"/>
  <c r="AC130" i="3" a="1"/>
  <c r="AC130" i="3" s="1"/>
  <c r="AE131" i="3" a="1"/>
  <c r="AE131" i="3" s="1"/>
  <c r="AE129" i="3" a="1"/>
  <c r="AE129" i="3" s="1"/>
  <c r="BE129" i="3" s="1"/>
  <c r="Z128" i="3" a="1"/>
  <c r="Z128" i="3" s="1"/>
  <c r="AZ128" i="3" s="1"/>
  <c r="AC128" i="3" a="1"/>
  <c r="AC128" i="3" s="1"/>
  <c r="BC128" i="3" s="1"/>
  <c r="AG130" i="3" a="1"/>
  <c r="AG130" i="3" s="1"/>
  <c r="AA129" i="3" a="1"/>
  <c r="AA129" i="3" s="1"/>
  <c r="BA129" i="3" s="1"/>
  <c r="Y133" i="3" a="1"/>
  <c r="Y133" i="3" s="1"/>
  <c r="AR128" i="3" a="1"/>
  <c r="AR128" i="3" s="1"/>
  <c r="Y129" i="3" a="1"/>
  <c r="Y129" i="3" s="1"/>
  <c r="AY129" i="3" s="1"/>
  <c r="AP132" i="3" a="1"/>
  <c r="AP132" i="3" s="1"/>
  <c r="W133" i="3" a="1"/>
  <c r="W133" i="3" s="1"/>
  <c r="AS128" i="3" a="1"/>
  <c r="AS128" i="3" s="1"/>
  <c r="AO128" i="3" a="1"/>
  <c r="AO128" i="3" s="1"/>
  <c r="AU128" i="3" a="1"/>
  <c r="AU128" i="3" s="1"/>
  <c r="AD132" i="3" a="1"/>
  <c r="AD132" i="3" s="1"/>
  <c r="AT131" i="3" a="1"/>
  <c r="AT131" i="3" s="1"/>
  <c r="AP129" i="3" a="1"/>
  <c r="AP129" i="3" s="1"/>
  <c r="AG134" i="3" a="1"/>
  <c r="AG134" i="3" s="1"/>
  <c r="AB128" i="3" a="1"/>
  <c r="AB128" i="3" s="1"/>
  <c r="BB128" i="3" s="1"/>
  <c r="AL129" i="3" a="1"/>
  <c r="AL129" i="3" s="1"/>
  <c r="AH133" i="3" a="1"/>
  <c r="AH133" i="3" s="1"/>
  <c r="AH130" i="3" a="1"/>
  <c r="AH130" i="3" s="1"/>
  <c r="Z134" i="3" a="1"/>
  <c r="Z134" i="3" s="1"/>
  <c r="AH132" i="3" a="1"/>
  <c r="AH132" i="3" s="1"/>
  <c r="X133" i="3" a="1"/>
  <c r="X133" i="3" s="1"/>
  <c r="AF130" i="3" a="1"/>
  <c r="AF130" i="3" s="1"/>
  <c r="AS129" i="3" a="1"/>
  <c r="AS129" i="3" s="1"/>
  <c r="W134" i="3" a="1"/>
  <c r="W134" i="3" s="1"/>
  <c r="AR132" i="3" a="1"/>
  <c r="AR132" i="3" s="1"/>
  <c r="Z132" i="3" a="1"/>
  <c r="Z132" i="3" s="1"/>
  <c r="AP131" i="3" a="1"/>
  <c r="AP131" i="3" s="1"/>
  <c r="AB130" i="3" a="1"/>
  <c r="AB130" i="3" s="1"/>
  <c r="AC133" i="3" a="1"/>
  <c r="AC133" i="3" s="1"/>
  <c r="Z129" i="3" a="1"/>
  <c r="Z129" i="3" s="1"/>
  <c r="AZ129" i="3" s="1"/>
  <c r="AJ128" i="3" a="1"/>
  <c r="AJ128" i="3" s="1"/>
  <c r="AB134" i="3" a="1"/>
  <c r="AB134" i="3" s="1"/>
  <c r="AJ133" i="3" a="1"/>
  <c r="AJ133" i="3" s="1"/>
  <c r="AJ130" i="3" a="1"/>
  <c r="AJ130" i="3" s="1"/>
  <c r="AC131" i="3" a="1"/>
  <c r="AC131" i="3" s="1"/>
  <c r="AF133" i="3" a="1"/>
  <c r="AF133" i="3" s="1"/>
  <c r="AQ130" i="3" a="1"/>
  <c r="AQ130" i="3" s="1"/>
  <c r="W131" i="3" a="1"/>
  <c r="W131" i="3" s="1"/>
  <c r="W129" i="3" a="1"/>
  <c r="W129" i="3" s="1"/>
  <c r="AW129" i="3" s="1"/>
  <c r="AT129" i="3" a="1"/>
  <c r="AT129" i="3" s="1"/>
  <c r="W130" i="3" a="1"/>
  <c r="W130" i="3" s="1"/>
  <c r="AA134" i="3" a="1"/>
  <c r="AA134" i="3" s="1"/>
  <c r="AE130" i="3" a="1"/>
  <c r="AE130" i="3" s="1"/>
  <c r="AL128" i="3" a="1"/>
  <c r="AL128" i="3" s="1"/>
  <c r="AP130" i="3" a="1"/>
  <c r="AP130" i="3" s="1"/>
  <c r="AA131" i="3" a="1"/>
  <c r="AA131" i="3" s="1"/>
  <c r="AO129" i="3" a="1"/>
  <c r="AO129" i="3" s="1"/>
  <c r="AS132" i="3" a="1"/>
  <c r="AS132" i="3" s="1"/>
  <c r="AB132" i="3" a="1"/>
  <c r="AB132" i="3" s="1"/>
  <c r="AF134" i="3" a="1"/>
  <c r="AF134" i="3" s="1"/>
  <c r="AN133" i="3" a="1"/>
  <c r="AN133" i="3" s="1"/>
  <c r="AU133" i="3" a="1"/>
  <c r="AU133" i="3" s="1"/>
  <c r="AU130" i="3" a="1"/>
  <c r="AU130" i="3" s="1"/>
  <c r="AB131" i="3" a="1"/>
  <c r="AB131" i="3" s="1"/>
  <c r="AB129" i="3" a="1"/>
  <c r="AB129" i="3" s="1"/>
  <c r="BB129" i="3" s="1"/>
  <c r="AF132" i="3" a="1"/>
  <c r="AF132" i="3" s="1"/>
  <c r="AH134" i="3" a="1"/>
  <c r="AH134" i="3" s="1"/>
  <c r="AJ129" i="3" a="1"/>
  <c r="AJ129" i="3" s="1"/>
  <c r="X128" i="3" a="1"/>
  <c r="X128" i="3" s="1"/>
  <c r="AX128" i="3" s="1"/>
  <c r="AL132" i="3" a="1"/>
  <c r="AL132" i="3" s="1"/>
  <c r="AG129" i="3" a="1"/>
  <c r="AG129" i="3" s="1"/>
  <c r="BG129" i="3" s="1"/>
  <c r="AK131" i="3" a="1"/>
  <c r="AK131" i="3" s="1"/>
  <c r="AL131" i="3" a="1"/>
  <c r="AL131" i="3" s="1"/>
  <c r="AQ133" i="3" a="1"/>
  <c r="AQ133" i="3" s="1"/>
  <c r="AK133" i="3" a="1"/>
  <c r="AK133" i="3" s="1"/>
  <c r="AM132" i="3" a="1"/>
  <c r="AM132" i="3" s="1"/>
  <c r="AB133" i="3" a="1"/>
  <c r="AB133" i="3" s="1"/>
  <c r="AM133" i="3" a="1"/>
  <c r="AM133" i="3" s="1"/>
  <c r="AP128" i="3" a="1"/>
  <c r="AP128" i="3" s="1"/>
  <c r="AT130" i="3" a="1"/>
  <c r="AT130" i="3" s="1"/>
  <c r="AT132" i="3" a="1"/>
  <c r="AT132" i="3" s="1"/>
  <c r="AL133" i="3" a="1"/>
  <c r="AL133" i="3" s="1"/>
  <c r="AH129" i="3" a="1"/>
  <c r="AH129" i="3" s="1"/>
  <c r="BH129" i="3" s="1"/>
  <c r="X129" i="3" a="1"/>
  <c r="X129" i="3" s="1"/>
  <c r="AX129" i="3" s="1"/>
  <c r="AG128" i="3" a="1"/>
  <c r="AG128" i="3" s="1"/>
  <c r="BG128" i="3" s="1"/>
  <c r="AL130" i="3" a="1"/>
  <c r="AL130" i="3" s="1"/>
  <c r="AC129" i="3" a="1"/>
  <c r="AC129" i="3" s="1"/>
  <c r="BC129" i="3" s="1"/>
  <c r="Y132" i="3" a="1"/>
  <c r="Y132" i="3" s="1"/>
  <c r="AF131" i="3" a="1"/>
  <c r="AF131" i="3" s="1"/>
  <c r="AJ131" i="3" a="1"/>
  <c r="AJ131" i="3" s="1"/>
  <c r="AJ132" i="3" a="1"/>
  <c r="AJ132" i="3" s="1"/>
  <c r="Y130" i="3" a="1"/>
  <c r="Y130" i="3" s="1"/>
  <c r="Z133" i="3" a="1"/>
  <c r="Z133" i="3" s="1"/>
  <c r="AF129" i="3" a="1"/>
  <c r="AF129" i="3" s="1"/>
  <c r="BF129" i="3" s="1"/>
  <c r="AQ132" i="3" a="1"/>
  <c r="AQ132" i="3" s="1"/>
  <c r="AA130" i="3" a="1"/>
  <c r="AA130" i="3" s="1"/>
  <c r="AE134" i="3" a="1"/>
  <c r="AE134" i="3" s="1"/>
  <c r="AQ131" i="3" a="1"/>
  <c r="AQ131" i="3" s="1"/>
  <c r="AP133" i="3" a="1"/>
  <c r="AP133" i="3" s="1"/>
  <c r="AM129" i="3" a="1"/>
  <c r="AM129" i="3" s="1"/>
  <c r="AU129" i="3" a="1"/>
  <c r="AU129" i="3" s="1"/>
  <c r="AD131" i="3" a="1"/>
  <c r="AD131" i="3" s="1"/>
  <c r="W128" i="3" a="1"/>
  <c r="W128" i="3" s="1"/>
  <c r="AW128" i="3" s="1"/>
  <c r="AM130" i="3" a="1"/>
  <c r="AM130" i="3" s="1"/>
  <c r="AG133" i="3" a="1"/>
  <c r="AG133" i="3" s="1"/>
  <c r="AD129" i="3" a="1"/>
  <c r="AD129" i="3" s="1"/>
  <c r="BD129" i="3" s="1"/>
  <c r="AN131" i="3" a="1"/>
  <c r="AN131" i="3" s="1"/>
  <c r="AN129" i="3" a="1"/>
  <c r="AN129" i="3" s="1"/>
  <c r="X130" i="3" a="1"/>
  <c r="X130" i="3" s="1"/>
  <c r="Y134" i="3" a="1"/>
  <c r="Y134" i="3" s="1"/>
  <c r="AO133" i="3" a="1"/>
  <c r="AO133" i="3" s="1"/>
  <c r="AK130" i="3" a="1"/>
  <c r="AK130" i="3" s="1"/>
  <c r="AU131" i="3" a="1"/>
  <c r="AU131" i="3" s="1"/>
  <c r="AN128" i="3" a="1"/>
  <c r="AN128" i="3" s="1"/>
  <c r="AQ129" i="3" a="1"/>
  <c r="AQ129" i="3" s="1"/>
  <c r="AH128" i="3" a="1"/>
  <c r="AH128" i="3" s="1"/>
  <c r="BH128" i="3" s="1"/>
  <c r="AD128" i="3" a="1"/>
  <c r="AD128" i="3" s="1"/>
  <c r="BD128" i="3" s="1"/>
  <c r="X131" i="3" a="1"/>
  <c r="X131" i="3" s="1"/>
  <c r="AT128" i="3" a="1"/>
  <c r="AT128" i="3" s="1"/>
  <c r="X132" i="3" a="1"/>
  <c r="X132" i="3" s="1"/>
  <c r="Y131" i="3" a="1"/>
  <c r="Y131" i="3" s="1"/>
  <c r="AH131" i="3" a="1"/>
  <c r="AH131" i="3" s="1"/>
  <c r="AA128" i="3" a="1"/>
  <c r="AA128" i="3" s="1"/>
  <c r="BA128" i="3" s="1"/>
  <c r="W132" i="3" a="1"/>
  <c r="W132" i="3" s="1"/>
  <c r="AG132" i="3" a="1"/>
  <c r="AG132" i="3" s="1"/>
  <c r="AO131" i="3" a="1"/>
  <c r="AO131" i="3" s="1"/>
  <c r="AA133" i="3" a="1"/>
  <c r="AA133" i="3" s="1"/>
  <c r="Z131" i="3" a="1"/>
  <c r="Z131" i="3" s="1"/>
  <c r="AR133" i="3" a="1"/>
  <c r="AR133" i="3" s="1"/>
  <c r="AC134" i="3" a="1"/>
  <c r="AC134" i="3" s="1"/>
  <c r="AS133" i="3" a="1"/>
  <c r="AS133" i="3" s="1"/>
  <c r="AN132" i="3" a="1"/>
  <c r="AN132" i="3" s="1"/>
  <c r="AN130" i="3" a="1"/>
  <c r="AN130" i="3" s="1"/>
  <c r="AG131" i="3" a="1"/>
  <c r="AG131" i="3" s="1"/>
  <c r="AO130" i="3" a="1"/>
  <c r="AO130" i="3" s="1"/>
  <c r="X134" i="3" a="1"/>
  <c r="X134" i="3" s="1"/>
  <c r="AE133" i="3" a="1"/>
  <c r="AE133" i="3" s="1"/>
  <c r="AT133" i="3" a="1"/>
  <c r="AT133" i="3" s="1"/>
  <c r="AS130" i="3" a="1"/>
  <c r="AS130" i="3" s="1"/>
  <c r="AS131" i="3" a="1"/>
  <c r="AS131" i="3" s="1"/>
  <c r="Z130" i="3" a="1"/>
  <c r="Z130" i="3" s="1"/>
  <c r="AC132" i="3" a="1"/>
  <c r="AC132" i="3" s="1"/>
  <c r="AR130" i="3" a="1"/>
  <c r="AR130" i="3" s="1"/>
  <c r="AK132" i="3" a="1"/>
  <c r="AK132" i="3" s="1"/>
  <c r="AU132" i="3" a="1"/>
  <c r="AU132" i="3" s="1"/>
  <c r="K116" i="3"/>
  <c r="I116" i="3"/>
  <c r="J116" i="3"/>
  <c r="N116" i="3"/>
  <c r="M116" i="3"/>
  <c r="G116" i="3"/>
  <c r="F116" i="3"/>
  <c r="O116" i="3"/>
  <c r="L116" i="3"/>
  <c r="H116" i="3"/>
  <c r="BB71" i="3"/>
  <c r="AL72" i="3" l="1"/>
  <c r="AX78" i="3" s="1"/>
  <c r="AA79" i="3"/>
  <c r="AA80" i="3"/>
  <c r="AA77" i="3"/>
  <c r="AA78" i="3"/>
  <c r="AA75" i="3"/>
  <c r="AA76" i="3"/>
  <c r="AA73" i="3"/>
  <c r="AA74" i="3"/>
  <c r="AA71" i="3"/>
  <c r="AA72" i="3"/>
  <c r="AA69" i="3"/>
  <c r="Y69" i="3" s="1" a="1"/>
  <c r="Y69" i="3" s="1"/>
  <c r="AA70" i="3"/>
  <c r="Y70" i="3" s="1" a="1"/>
  <c r="Y70" i="3" s="1"/>
  <c r="AB44" i="3" a="1"/>
  <c r="AB44" i="3" s="1"/>
  <c r="Z43" i="3" a="1"/>
  <c r="Z43" i="3" s="1"/>
  <c r="X41" i="3" a="1"/>
  <c r="X41" i="3" s="1"/>
  <c r="AX41" i="3" s="1"/>
  <c r="AB42" i="3" a="1"/>
  <c r="AB42" i="3" s="1"/>
  <c r="AA40" i="3" a="1"/>
  <c r="AA40" i="3" s="1"/>
  <c r="AD42" i="3" a="1"/>
  <c r="AD42" i="3" s="1"/>
  <c r="AC46" i="3" a="1"/>
  <c r="AC46" i="3" s="1"/>
  <c r="AM41" i="3" a="1"/>
  <c r="AM41" i="3" s="1"/>
  <c r="AD46" i="3" a="1"/>
  <c r="AD46" i="3" s="1"/>
  <c r="AE41" i="3" a="1"/>
  <c r="AE41" i="3" s="1"/>
  <c r="BE41" i="3" s="1"/>
  <c r="AQ45" i="3" a="1"/>
  <c r="AQ45" i="3" s="1"/>
  <c r="Y41" i="3" a="1"/>
  <c r="Y41" i="3" s="1"/>
  <c r="AY41" i="3" s="1"/>
  <c r="AF41" i="3" a="1"/>
  <c r="AF41" i="3" s="1"/>
  <c r="BF41" i="3" s="1"/>
  <c r="AM43" i="3" a="1"/>
  <c r="AM43" i="3" s="1"/>
  <c r="Z41" i="3" a="1"/>
  <c r="Z41" i="3" s="1"/>
  <c r="AZ41" i="3" s="1"/>
  <c r="AE46" i="3" a="1"/>
  <c r="AE46" i="3" s="1"/>
  <c r="Y42" i="3" a="1"/>
  <c r="Y42" i="3" s="1"/>
  <c r="AT44" i="3" a="1"/>
  <c r="AT44" i="3" s="1"/>
  <c r="Z45" i="3" a="1"/>
  <c r="Z45" i="3" s="1"/>
  <c r="AA45" i="3" a="1"/>
  <c r="AA45" i="3" s="1"/>
  <c r="AJ44" i="3" a="1"/>
  <c r="AJ44" i="3" s="1"/>
  <c r="AO45" i="3" a="1"/>
  <c r="AO45" i="3" s="1"/>
  <c r="X42" i="3" a="1"/>
  <c r="X42" i="3" s="1"/>
  <c r="AG45" i="3" a="1"/>
  <c r="AG45" i="3" s="1"/>
  <c r="AT42" i="3" a="1"/>
  <c r="AT42" i="3" s="1"/>
  <c r="AN45" i="3" a="1"/>
  <c r="AN45" i="3" s="1"/>
  <c r="AR44" i="3" a="1"/>
  <c r="AR44" i="3" s="1"/>
  <c r="AU44" i="3" a="1"/>
  <c r="AU44" i="3" s="1"/>
  <c r="AQ42" i="3" a="1"/>
  <c r="AQ42" i="3" s="1"/>
  <c r="AT45" i="3" a="1"/>
  <c r="AT45" i="3" s="1"/>
  <c r="Z46" i="3" a="1"/>
  <c r="Z46" i="3" s="1"/>
  <c r="AL40" i="3" a="1"/>
  <c r="AL40" i="3" s="1"/>
  <c r="AA46" i="3" a="1"/>
  <c r="AA46" i="3" s="1"/>
  <c r="AP44" i="3" a="1"/>
  <c r="AP44" i="3" s="1"/>
  <c r="AN42" i="3" a="1"/>
  <c r="AN42" i="3" s="1"/>
  <c r="AJ41" i="3" a="1"/>
  <c r="AJ41" i="3" s="1"/>
  <c r="AG43" i="3" a="1"/>
  <c r="AG43" i="3" s="1"/>
  <c r="AR43" i="3" a="1"/>
  <c r="AR43" i="3" s="1"/>
  <c r="AK44" i="3" a="1"/>
  <c r="AK44" i="3" s="1"/>
  <c r="AJ40" i="3" a="1"/>
  <c r="AJ40" i="3" s="1"/>
  <c r="X43" i="3" a="1"/>
  <c r="X43" i="3" s="1"/>
  <c r="AT41" i="3" a="1"/>
  <c r="AT41" i="3" s="1"/>
  <c r="AH46" i="3" a="1"/>
  <c r="AH46" i="3" s="1"/>
  <c r="AN43" i="3" a="1"/>
  <c r="AN43" i="3" s="1"/>
  <c r="Y44" i="3" a="1"/>
  <c r="Y44" i="3" s="1"/>
  <c r="AN41" i="3" a="1"/>
  <c r="AN41" i="3" s="1"/>
  <c r="AD44" i="3" a="1"/>
  <c r="AD44" i="3" s="1"/>
  <c r="AC40" i="3" a="1"/>
  <c r="AC40" i="3" s="1"/>
  <c r="AT43" i="3" a="1"/>
  <c r="AT43" i="3" s="1"/>
  <c r="AP43" i="3" a="1"/>
  <c r="AP43" i="3" s="1"/>
  <c r="Y40" i="3" a="1"/>
  <c r="Y40" i="3" s="1"/>
  <c r="AM40" i="3" a="1"/>
  <c r="AM40" i="3" s="1"/>
  <c r="W46" i="3" a="1"/>
  <c r="W46" i="3" s="1"/>
  <c r="AS45" i="3" a="1"/>
  <c r="AS45" i="3" s="1"/>
  <c r="AF42" i="3" a="1"/>
  <c r="AF42" i="3" s="1"/>
  <c r="AE45" i="3" a="1"/>
  <c r="AE45" i="3" s="1"/>
  <c r="W44" i="3" a="1"/>
  <c r="W44" i="3" s="1"/>
  <c r="AS42" i="3" a="1"/>
  <c r="AS42" i="3" s="1"/>
  <c r="AQ43" i="3" a="1"/>
  <c r="AQ43" i="3" s="1"/>
  <c r="AC45" i="3" a="1"/>
  <c r="AC45" i="3" s="1"/>
  <c r="AH40" i="3" a="1"/>
  <c r="AH40" i="3" s="1"/>
  <c r="AC43" i="3" a="1"/>
  <c r="AC43" i="3" s="1"/>
  <c r="W43" i="3" a="1"/>
  <c r="W43" i="3" s="1"/>
  <c r="W45" i="3" a="1"/>
  <c r="W45" i="3" s="1"/>
  <c r="AK40" i="3" a="1"/>
  <c r="AK40" i="3" s="1"/>
  <c r="AH43" i="3" a="1"/>
  <c r="AH43" i="3" s="1"/>
  <c r="AG46" i="3" a="1"/>
  <c r="AG46" i="3" s="1"/>
  <c r="X46" i="3" a="1"/>
  <c r="X46" i="3" s="1"/>
  <c r="AL44" i="3" a="1"/>
  <c r="AL44" i="3" s="1"/>
  <c r="AJ43" i="3" a="1"/>
  <c r="AJ43" i="3" s="1"/>
  <c r="AO44" i="3" a="1"/>
  <c r="AO44" i="3" s="1"/>
  <c r="AH44" i="3" a="1"/>
  <c r="AH44" i="3" s="1"/>
  <c r="AQ40" i="3" a="1"/>
  <c r="AQ40" i="3" s="1"/>
  <c r="AF45" i="3" a="1"/>
  <c r="AF45" i="3" s="1"/>
  <c r="AN44" i="3" a="1"/>
  <c r="AN44" i="3" s="1"/>
  <c r="AS41" i="3" a="1"/>
  <c r="AS41" i="3" s="1"/>
  <c r="AP45" i="3" a="1"/>
  <c r="AP45" i="3" s="1"/>
  <c r="AF44" i="3" a="1"/>
  <c r="AF44" i="3" s="1"/>
  <c r="Z40" i="3" a="1"/>
  <c r="Z40" i="3" s="1"/>
  <c r="AR45" i="3" a="1"/>
  <c r="AR45" i="3" s="1"/>
  <c r="AF46" i="3" a="1"/>
  <c r="AF46" i="3" s="1"/>
  <c r="AL42" i="3" a="1"/>
  <c r="AL42" i="3" s="1"/>
  <c r="AH42" i="3" a="1"/>
  <c r="AH42" i="3" s="1"/>
  <c r="AG44" i="3" a="1"/>
  <c r="AG44" i="3" s="1"/>
  <c r="AS40" i="3" a="1"/>
  <c r="AS40" i="3" s="1"/>
  <c r="AA43" i="3" a="1"/>
  <c r="AA43" i="3" s="1"/>
  <c r="AO40" i="3" a="1"/>
  <c r="AO40" i="3" s="1"/>
  <c r="AB40" i="3" a="1"/>
  <c r="AB40" i="3" s="1"/>
  <c r="X40" i="3" a="1"/>
  <c r="X40" i="3" s="1"/>
  <c r="AO41" i="3" a="1"/>
  <c r="AO41" i="3" s="1"/>
  <c r="AE43" i="3" a="1"/>
  <c r="AE43" i="3" s="1"/>
  <c r="AT40" i="3" a="1"/>
  <c r="AT40" i="3" s="1"/>
  <c r="AK45" i="3" a="1"/>
  <c r="AK45" i="3" s="1"/>
  <c r="AH45" i="3" a="1"/>
  <c r="AH45" i="3" s="1"/>
  <c r="AQ41" i="3" a="1"/>
  <c r="AQ41" i="3" s="1"/>
  <c r="AF43" i="3" a="1"/>
  <c r="AF43" i="3" s="1"/>
  <c r="AD40" i="3" a="1"/>
  <c r="AD40" i="3" s="1"/>
  <c r="BD40" i="3" s="1"/>
  <c r="AP40" i="3" a="1"/>
  <c r="AP40" i="3" s="1"/>
  <c r="W42" i="3" a="1"/>
  <c r="W42" i="3" s="1"/>
  <c r="AG41" i="3" a="1"/>
  <c r="AG41" i="3" s="1"/>
  <c r="BG41" i="3" s="1"/>
  <c r="AL41" i="3" a="1"/>
  <c r="AL41" i="3" s="1"/>
  <c r="AR42" i="3" a="1"/>
  <c r="AR42" i="3" s="1"/>
  <c r="AB43" i="3" a="1"/>
  <c r="AB43" i="3" s="1"/>
  <c r="Y43" i="3" a="1"/>
  <c r="Y43" i="3" s="1"/>
  <c r="AU42" i="3" a="1"/>
  <c r="AU42" i="3" s="1"/>
  <c r="AD41" i="3" a="1"/>
  <c r="AD41" i="3" s="1"/>
  <c r="BD41" i="3" s="1"/>
  <c r="AC41" i="3" a="1"/>
  <c r="AC41" i="3" s="1"/>
  <c r="BC41" i="3" s="1"/>
  <c r="AL45" i="3" a="1"/>
  <c r="AL45" i="3" s="1"/>
  <c r="Z44" i="3" a="1"/>
  <c r="Z44" i="3" s="1"/>
  <c r="AK41" i="3" a="1"/>
  <c r="AK41" i="3" s="1"/>
  <c r="AJ42" i="3" a="1"/>
  <c r="AJ42" i="3" s="1"/>
  <c r="W40" i="3" a="1"/>
  <c r="W40" i="3" s="1"/>
  <c r="AW40" i="3" s="1"/>
  <c r="AF40" i="3" a="1"/>
  <c r="AF40" i="3" s="1"/>
  <c r="BF40" i="3" s="1"/>
  <c r="Y46" i="3" a="1"/>
  <c r="Y46" i="3" s="1"/>
  <c r="Z42" i="3" a="1"/>
  <c r="Z42" i="3" s="1"/>
  <c r="AO43" i="3" a="1"/>
  <c r="AO43" i="3" s="1"/>
  <c r="AB46" i="3" a="1"/>
  <c r="AB46" i="3" s="1"/>
  <c r="AK42" i="3" a="1"/>
  <c r="AK42" i="3" s="1"/>
  <c r="AH41" i="3" a="1"/>
  <c r="AH41" i="3" s="1"/>
  <c r="BH41" i="3" s="1"/>
  <c r="AG42" i="3" a="1"/>
  <c r="AG42" i="3" s="1"/>
  <c r="AB45" i="3" a="1"/>
  <c r="AB45" i="3" s="1"/>
  <c r="AS44" i="3" a="1"/>
  <c r="AS44" i="3" s="1"/>
  <c r="AR41" i="3" a="1"/>
  <c r="AR41" i="3" s="1"/>
  <c r="AA41" i="3" a="1"/>
  <c r="AA41" i="3" s="1"/>
  <c r="BA41" i="3" s="1"/>
  <c r="AK43" i="3" a="1"/>
  <c r="AK43" i="3" s="1"/>
  <c r="AU41" i="3" a="1"/>
  <c r="AU41" i="3" s="1"/>
  <c r="AE44" i="3" a="1"/>
  <c r="AE44" i="3" s="1"/>
  <c r="AS43" i="3" a="1"/>
  <c r="AS43" i="3" s="1"/>
  <c r="AB41" i="3" a="1"/>
  <c r="AB41" i="3" s="1"/>
  <c r="BB41" i="3" s="1"/>
  <c r="AM45" i="3" a="1"/>
  <c r="AM45" i="3" s="1"/>
  <c r="Y45" i="3" a="1"/>
  <c r="Y45" i="3" s="1"/>
  <c r="X45" i="3" a="1"/>
  <c r="X45" i="3" s="1"/>
  <c r="AC42" i="3" a="1"/>
  <c r="AC42" i="3" s="1"/>
  <c r="AM44" i="3" a="1"/>
  <c r="AM44" i="3" s="1"/>
  <c r="AQ44" i="3" a="1"/>
  <c r="AQ44" i="3" s="1"/>
  <c r="W41" i="3" a="1"/>
  <c r="W41" i="3" s="1"/>
  <c r="AW41" i="3" s="1"/>
  <c r="AL43" i="3" a="1"/>
  <c r="AL43" i="3" s="1"/>
  <c r="AP41" i="3" a="1"/>
  <c r="AP41" i="3" s="1"/>
  <c r="AA42" i="3" a="1"/>
  <c r="AA42" i="3" s="1"/>
  <c r="AJ45" i="3" a="1"/>
  <c r="AJ45" i="3" s="1"/>
  <c r="AA44" i="3" a="1"/>
  <c r="AA44" i="3" s="1"/>
  <c r="AM42" i="3" a="1"/>
  <c r="AM42" i="3" s="1"/>
  <c r="AO42" i="3" a="1"/>
  <c r="AO42" i="3" s="1"/>
  <c r="AD43" i="3" a="1"/>
  <c r="AD43" i="3" s="1"/>
  <c r="AU45" i="3" a="1"/>
  <c r="AU45" i="3" s="1"/>
  <c r="AU40" i="3" a="1"/>
  <c r="AU40" i="3" s="1"/>
  <c r="X44" i="3" a="1"/>
  <c r="X44" i="3" s="1"/>
  <c r="AN40" i="3" a="1"/>
  <c r="AN40" i="3" s="1"/>
  <c r="AC44" i="3" a="1"/>
  <c r="AC44" i="3" s="1"/>
  <c r="AU43" i="3" a="1"/>
  <c r="AU43" i="3" s="1"/>
  <c r="AD45" i="3" a="1"/>
  <c r="AD45" i="3" s="1"/>
  <c r="AR40" i="3" a="1"/>
  <c r="AR40" i="3" s="1"/>
  <c r="AP42" i="3" a="1"/>
  <c r="AP42" i="3" s="1"/>
  <c r="AG40" i="3" a="1"/>
  <c r="AG40" i="3" s="1"/>
  <c r="BG40" i="3" s="1"/>
  <c r="AE40" i="3" a="1"/>
  <c r="AE40" i="3" s="1"/>
  <c r="BD123" i="3"/>
  <c r="BA123" i="3"/>
  <c r="BH123" i="3"/>
  <c r="BG123" i="3"/>
  <c r="AW123" i="3"/>
  <c r="AX123" i="3"/>
  <c r="AY123" i="3"/>
  <c r="BF123" i="3"/>
  <c r="BC123" i="3"/>
  <c r="BB123" i="3"/>
  <c r="AZ123" i="3"/>
  <c r="BE123" i="3"/>
  <c r="AY250" i="3"/>
  <c r="BJ247" i="3"/>
  <c r="AX250" i="3" s="1"/>
  <c r="AX252" i="3" s="1"/>
  <c r="AX519" i="3"/>
  <c r="AY162" i="3"/>
  <c r="BJ159" i="3"/>
  <c r="AX162" i="3" s="1"/>
  <c r="BJ336" i="3"/>
  <c r="AX339" i="3" s="1"/>
  <c r="AY339" i="3"/>
  <c r="BJ602" i="3"/>
  <c r="AX605" i="3" s="1"/>
  <c r="AX607" i="3" s="1"/>
  <c r="AY605" i="3"/>
  <c r="S159" i="3"/>
  <c r="AF155" i="3" s="1"/>
  <c r="AL160" i="3"/>
  <c r="AX166" i="3" s="1"/>
  <c r="BH74" i="3"/>
  <c r="BA71" i="3"/>
  <c r="AZ71" i="3" s="1"/>
  <c r="AY71" i="3" s="1"/>
  <c r="AZ40" i="3" l="1"/>
  <c r="AX40" i="3"/>
  <c r="BE40" i="3"/>
  <c r="AY40" i="3"/>
  <c r="BB40" i="3"/>
  <c r="BC40" i="3"/>
  <c r="BH40" i="3"/>
  <c r="BA40" i="3"/>
  <c r="AA168" i="3"/>
  <c r="Y168" i="3" s="1" a="1"/>
  <c r="Y168" i="3" s="1"/>
  <c r="AA160" i="3"/>
  <c r="Y160" i="3" s="1" a="1"/>
  <c r="Y160" i="3" s="1"/>
  <c r="AA164" i="3"/>
  <c r="Y164" i="3" s="1" a="1"/>
  <c r="Y164" i="3" s="1"/>
  <c r="AA162" i="3"/>
  <c r="Y162" i="3" s="1" a="1"/>
  <c r="Y162" i="3" s="1"/>
  <c r="AA167" i="3"/>
  <c r="Y167" i="3" s="1" a="1"/>
  <c r="Y167" i="3" s="1"/>
  <c r="AA159" i="3"/>
  <c r="Y159" i="3" s="1" a="1"/>
  <c r="Y159" i="3" s="1"/>
  <c r="AA157" i="3"/>
  <c r="Y157" i="3" s="1" a="1"/>
  <c r="Y157" i="3" s="1"/>
  <c r="AA161" i="3"/>
  <c r="Y161" i="3" s="1" a="1"/>
  <c r="Y161" i="3" s="1"/>
  <c r="AA166" i="3"/>
  <c r="Y166" i="3" s="1" a="1"/>
  <c r="Y166" i="3" s="1"/>
  <c r="AA158" i="3"/>
  <c r="Y158" i="3" s="1" a="1"/>
  <c r="Y158" i="3" s="1"/>
  <c r="AA165" i="3"/>
  <c r="Y165" i="3" s="1" a="1"/>
  <c r="Y165" i="3" s="1"/>
  <c r="AA163" i="3"/>
  <c r="Y163" i="3" s="1" a="1"/>
  <c r="Y163" i="3" s="1"/>
  <c r="AX341" i="3"/>
  <c r="AX164" i="3"/>
  <c r="AT159" i="3" s="1"/>
  <c r="AR159" i="3" s="1" a="1"/>
  <c r="AR159" i="3" s="1"/>
  <c r="Y79" i="3" a="1"/>
  <c r="Y79" i="3" s="1"/>
  <c r="Y78" i="3" a="1"/>
  <c r="Y78" i="3" s="1"/>
  <c r="Y72" i="3" a="1"/>
  <c r="Y72" i="3" s="1"/>
  <c r="Y71" i="3" a="1"/>
  <c r="Y71" i="3" s="1"/>
  <c r="Y75" i="3" a="1"/>
  <c r="Y75" i="3" s="1"/>
  <c r="Y73" i="3" a="1"/>
  <c r="Y73" i="3" s="1"/>
  <c r="Y74" i="3" a="1"/>
  <c r="Y74" i="3" s="1"/>
  <c r="Y80" i="3" a="1"/>
  <c r="Y80" i="3" s="1"/>
  <c r="Y77" i="3" a="1"/>
  <c r="Y77" i="3" s="1"/>
  <c r="Y76" i="3" a="1"/>
  <c r="Y76" i="3" s="1"/>
  <c r="BG74" i="3"/>
  <c r="R150" i="3" l="1"/>
  <c r="O172" i="3" s="1"/>
  <c r="O174" i="3" s="1"/>
  <c r="G118" i="3" s="1"/>
  <c r="AT164" i="3"/>
  <c r="AR164" i="3" s="1" a="1"/>
  <c r="AR164" i="3" s="1"/>
  <c r="AT157" i="3"/>
  <c r="AR157" i="3" s="1" a="1"/>
  <c r="AR157" i="3" s="1"/>
  <c r="P150" i="3" s="1"/>
  <c r="M172" i="3" s="1"/>
  <c r="M174" i="3" s="1"/>
  <c r="E118" i="3" s="1"/>
  <c r="AT158" i="3"/>
  <c r="AR158" i="3" s="1" a="1"/>
  <c r="AR158" i="3" s="1"/>
  <c r="Q150" i="3" s="1"/>
  <c r="N172" i="3" s="1"/>
  <c r="N174" i="3" s="1"/>
  <c r="F118" i="3" s="1"/>
  <c r="AT168" i="3"/>
  <c r="AR168" i="3" s="1" a="1"/>
  <c r="AR168" i="3" s="1"/>
  <c r="AT166" i="3"/>
  <c r="AR166" i="3" s="1" a="1"/>
  <c r="AR166" i="3" s="1"/>
  <c r="AT165" i="3"/>
  <c r="AR165" i="3" s="1" a="1"/>
  <c r="AR165" i="3" s="1"/>
  <c r="X150" i="3" s="1"/>
  <c r="AT160" i="3"/>
  <c r="AR160" i="3" s="1" a="1"/>
  <c r="AR160" i="3" s="1"/>
  <c r="AT163" i="3"/>
  <c r="AR163" i="3" s="1" a="1"/>
  <c r="AR163" i="3" s="1"/>
  <c r="AT162" i="3"/>
  <c r="AR162" i="3" s="1" a="1"/>
  <c r="AR162" i="3" s="1"/>
  <c r="AT167" i="3"/>
  <c r="AR167" i="3" s="1" a="1"/>
  <c r="AR167" i="3" s="1"/>
  <c r="AT161" i="3"/>
  <c r="AR161" i="3" s="1" a="1"/>
  <c r="AR161" i="3" s="1"/>
  <c r="BF74" i="3"/>
  <c r="G123" i="3" l="1"/>
  <c r="Y150" i="3"/>
  <c r="N123" i="3" s="1"/>
  <c r="AA150" i="3"/>
  <c r="P123" i="3" s="1"/>
  <c r="W150" i="3"/>
  <c r="L123" i="3" s="1"/>
  <c r="V150" i="3"/>
  <c r="S172" i="3" s="1"/>
  <c r="S174" i="3" s="1"/>
  <c r="K118" i="3" s="1"/>
  <c r="T150" i="3"/>
  <c r="Q172" i="3" s="1"/>
  <c r="Q174" i="3" s="1"/>
  <c r="I118" i="3" s="1"/>
  <c r="Z150" i="3"/>
  <c r="W172" i="3" s="1"/>
  <c r="W174" i="3" s="1"/>
  <c r="O118" i="3" s="1"/>
  <c r="U150" i="3"/>
  <c r="J123" i="3" s="1"/>
  <c r="S150" i="3"/>
  <c r="H123" i="3" s="1"/>
  <c r="F123" i="3"/>
  <c r="E123" i="3"/>
  <c r="M123" i="3"/>
  <c r="U172" i="3"/>
  <c r="U174" i="3" s="1"/>
  <c r="M118" i="3" s="1"/>
  <c r="AX71" i="3"/>
  <c r="BE74" i="3"/>
  <c r="V172" i="3" l="1"/>
  <c r="V174" i="3" s="1"/>
  <c r="N118" i="3" s="1"/>
  <c r="I123" i="3"/>
  <c r="P172" i="3"/>
  <c r="P174" i="3" s="1"/>
  <c r="H118" i="3" s="1"/>
  <c r="R172" i="3"/>
  <c r="R174" i="3" s="1"/>
  <c r="J118" i="3" s="1"/>
  <c r="K123" i="3"/>
  <c r="O123" i="3"/>
  <c r="X172" i="3"/>
  <c r="X174" i="3" s="1"/>
  <c r="P118" i="3" s="1"/>
  <c r="T172" i="3"/>
  <c r="T174" i="3" s="1"/>
  <c r="L118" i="3" s="1"/>
  <c r="BE71" i="3"/>
  <c r="BD74" i="3"/>
  <c r="BL602" i="3" l="1"/>
  <c r="BL514" i="3"/>
  <c r="BL425" i="3"/>
  <c r="BL336" i="3"/>
  <c r="BL247" i="3"/>
  <c r="BL159" i="3"/>
  <c r="BC74" i="3"/>
  <c r="BF71" i="3"/>
  <c r="BM602" i="3" l="1"/>
  <c r="BM514" i="3"/>
  <c r="BM425" i="3"/>
  <c r="BM336" i="3"/>
  <c r="BM247" i="3"/>
  <c r="BM159" i="3"/>
  <c r="BB74" i="3"/>
  <c r="BG71" i="3"/>
  <c r="BN602" i="3" l="1"/>
  <c r="BN514" i="3"/>
  <c r="BN425" i="3"/>
  <c r="BN336" i="3"/>
  <c r="BN247" i="3"/>
  <c r="BN159" i="3"/>
  <c r="BA74" i="3"/>
  <c r="BH71" i="3"/>
  <c r="AZ74" i="3" l="1"/>
  <c r="BI71" i="3"/>
  <c r="BJ71" i="3" l="1"/>
  <c r="AX74" i="3" s="1"/>
  <c r="AY74" i="3"/>
  <c r="AX76" i="3" l="1"/>
  <c r="AT70" i="3" l="1"/>
  <c r="AR70" i="3" s="1" a="1"/>
  <c r="AR70" i="3" s="1"/>
  <c r="Q62" i="3" s="1"/>
  <c r="AT77" i="3"/>
  <c r="AR77" i="3" s="1" a="1"/>
  <c r="AR77" i="3" s="1"/>
  <c r="AT69" i="3"/>
  <c r="AR69" i="3" s="1" a="1"/>
  <c r="AR69" i="3" s="1"/>
  <c r="P62" i="3" s="1"/>
  <c r="AT80" i="3"/>
  <c r="AR80" i="3" s="1" a="1"/>
  <c r="AR80" i="3" s="1"/>
  <c r="AT76" i="3"/>
  <c r="AR76" i="3" s="1" a="1"/>
  <c r="AR76" i="3" s="1"/>
  <c r="W62" i="3" s="1"/>
  <c r="AT72" i="3"/>
  <c r="AR72" i="3" s="1" a="1"/>
  <c r="AR72" i="3" s="1"/>
  <c r="AT75" i="3"/>
  <c r="AR75" i="3" s="1" a="1"/>
  <c r="AR75" i="3" s="1"/>
  <c r="AT79" i="3"/>
  <c r="AR79" i="3" s="1" a="1"/>
  <c r="AR79" i="3" s="1"/>
  <c r="AT74" i="3"/>
  <c r="AR74" i="3" s="1" a="1"/>
  <c r="AR74" i="3" s="1"/>
  <c r="AT71" i="3"/>
  <c r="AR71" i="3" s="1" a="1"/>
  <c r="AR71" i="3" s="1"/>
  <c r="AT73" i="3"/>
  <c r="AR73" i="3" s="1" a="1"/>
  <c r="AR73" i="3" s="1"/>
  <c r="AT78" i="3"/>
  <c r="AR78" i="3" s="1" a="1"/>
  <c r="AR78" i="3" s="1"/>
  <c r="Z62" i="3" l="1"/>
  <c r="W84" i="3" s="1"/>
  <c r="W86" i="3" s="1"/>
  <c r="O30" i="3" s="1"/>
  <c r="V62" i="3"/>
  <c r="S84" i="3" s="1"/>
  <c r="S86" i="3" s="1"/>
  <c r="K30" i="3" s="1"/>
  <c r="S62" i="3"/>
  <c r="H35" i="3" s="1"/>
  <c r="AA62" i="3"/>
  <c r="X84" i="3" s="1"/>
  <c r="X86" i="3" s="1"/>
  <c r="P30" i="3" s="1"/>
  <c r="E35" i="3"/>
  <c r="M84" i="3"/>
  <c r="Y62" i="3"/>
  <c r="N35" i="3" s="1"/>
  <c r="R62" i="3"/>
  <c r="G35" i="3" s="1"/>
  <c r="X62" i="3"/>
  <c r="U84" i="3" s="1"/>
  <c r="U86" i="3" s="1"/>
  <c r="M30" i="3" s="1"/>
  <c r="T62" i="3"/>
  <c r="Q84" i="3" s="1"/>
  <c r="Q86" i="3" s="1"/>
  <c r="I30" i="3" s="1"/>
  <c r="U62" i="3"/>
  <c r="J35" i="3" s="1"/>
  <c r="T84" i="3"/>
  <c r="T86" i="3" s="1"/>
  <c r="L30" i="3" s="1"/>
  <c r="N84" i="3"/>
  <c r="N86" i="3" s="1"/>
  <c r="F30" i="3" s="1"/>
  <c r="L35" i="3"/>
  <c r="O35" i="3" l="1"/>
  <c r="K35" i="3"/>
  <c r="P35" i="3"/>
  <c r="M35" i="3"/>
  <c r="O84" i="3"/>
  <c r="O86" i="3" s="1"/>
  <c r="G30" i="3" s="1"/>
  <c r="P84" i="3"/>
  <c r="P86" i="3" s="1"/>
  <c r="H30" i="3" s="1"/>
  <c r="I35" i="3"/>
  <c r="R84" i="3"/>
  <c r="R86" i="3" s="1"/>
  <c r="J30" i="3" s="1"/>
  <c r="V84" i="3"/>
  <c r="V86" i="3" s="1"/>
  <c r="N30" i="3" s="1"/>
  <c r="F35" i="3"/>
  <c r="AV35" i="3"/>
  <c r="BF35" i="3" l="1"/>
  <c r="AX35" i="3"/>
  <c r="BG35" i="3"/>
  <c r="BC35" i="3"/>
  <c r="AY35" i="3"/>
  <c r="AW35" i="3"/>
  <c r="BH35" i="3"/>
  <c r="BE35" i="3"/>
  <c r="BA35" i="3"/>
  <c r="BD35" i="3"/>
  <c r="BB35" i="3"/>
  <c r="AZ35" i="3"/>
  <c r="M86" i="3"/>
  <c r="E30" i="3" s="1"/>
  <c r="G21" i="4"/>
  <c r="G20" i="4"/>
  <c r="G19" i="4"/>
  <c r="G18" i="4"/>
  <c r="G17" i="4"/>
  <c r="G16" i="4"/>
  <c r="G15" i="4"/>
  <c r="G14" i="4"/>
  <c r="G13" i="4"/>
  <c r="G12" i="4"/>
  <c r="G11" i="4"/>
  <c r="G10" i="4"/>
  <c r="G9" i="4"/>
  <c r="G8" i="4"/>
  <c r="P32" i="3" l="1"/>
  <c r="O32" i="3"/>
  <c r="N32" i="3"/>
  <c r="M32" i="3"/>
  <c r="L32" i="3"/>
  <c r="K32" i="3"/>
  <c r="J32" i="3"/>
  <c r="I32" i="3"/>
  <c r="H32" i="3"/>
  <c r="G32" i="3"/>
  <c r="F32" i="3"/>
  <c r="P31" i="3"/>
  <c r="O31" i="3"/>
  <c r="N31" i="3"/>
  <c r="M31" i="3"/>
  <c r="L31" i="3"/>
  <c r="K31" i="3"/>
  <c r="J31" i="3"/>
  <c r="I31" i="3"/>
  <c r="H31" i="3"/>
  <c r="G31" i="3"/>
  <c r="P34" i="3"/>
  <c r="O34" i="3"/>
  <c r="N34" i="3"/>
  <c r="M34" i="3"/>
  <c r="L34" i="3"/>
  <c r="K34" i="3"/>
  <c r="J34" i="3"/>
  <c r="I34" i="3"/>
  <c r="H34" i="3"/>
  <c r="G34" i="3"/>
  <c r="F34" i="3"/>
  <c r="E65" i="4"/>
  <c r="N121" i="3" l="1"/>
  <c r="N111" i="3" s="1"/>
  <c r="E121" i="3"/>
  <c r="E111" i="3" s="1"/>
  <c r="D299" i="3"/>
  <c r="D565" i="3"/>
  <c r="D122" i="3"/>
  <c r="D388" i="3"/>
  <c r="D210" i="3"/>
  <c r="D477" i="3"/>
  <c r="I121" i="3"/>
  <c r="I111" i="3" s="1"/>
  <c r="H121" i="3"/>
  <c r="H111" i="3" s="1"/>
  <c r="G121" i="3"/>
  <c r="G111" i="3" s="1"/>
  <c r="L121" i="3"/>
  <c r="L111" i="3" s="1"/>
  <c r="K121" i="3"/>
  <c r="K111" i="3" s="1"/>
  <c r="P121" i="3"/>
  <c r="P111" i="3" s="1"/>
  <c r="J121" i="3"/>
  <c r="J111" i="3" s="1"/>
  <c r="O121" i="3"/>
  <c r="O111" i="3" s="1"/>
  <c r="F121" i="3"/>
  <c r="F111" i="3" s="1"/>
  <c r="M121" i="3"/>
  <c r="M111" i="3" s="1"/>
  <c r="D34" i="3"/>
  <c r="M33" i="3"/>
  <c r="M23" i="3" s="1"/>
  <c r="M22" i="3" s="1"/>
  <c r="M10" i="3" s="1"/>
  <c r="H33" i="3"/>
  <c r="H23" i="3" s="1"/>
  <c r="H22" i="3" s="1"/>
  <c r="H10" i="3" s="1"/>
  <c r="P33" i="3"/>
  <c r="P23" i="3" s="1"/>
  <c r="P22" i="3" s="1"/>
  <c r="P10" i="3" s="1"/>
  <c r="F33" i="3"/>
  <c r="F23" i="3" s="1"/>
  <c r="F22" i="3" s="1"/>
  <c r="F10" i="3" s="1"/>
  <c r="L33" i="3"/>
  <c r="L23" i="3" s="1"/>
  <c r="L22" i="3" s="1"/>
  <c r="L10" i="3" s="1"/>
  <c r="J33" i="3"/>
  <c r="J23" i="3" s="1"/>
  <c r="J22" i="3" s="1"/>
  <c r="J10" i="3" s="1"/>
  <c r="K33" i="3"/>
  <c r="K23" i="3" s="1"/>
  <c r="K22" i="3" s="1"/>
  <c r="K10" i="3" s="1"/>
  <c r="I33" i="3"/>
  <c r="I23" i="3" s="1"/>
  <c r="I22" i="3" s="1"/>
  <c r="I10" i="3" s="1"/>
  <c r="G33" i="3"/>
  <c r="G23" i="3" s="1"/>
  <c r="G22" i="3" s="1"/>
  <c r="G10" i="3" s="1"/>
  <c r="N33" i="3"/>
  <c r="N23" i="3" s="1"/>
  <c r="N22" i="3" s="1"/>
  <c r="N10" i="3" s="1"/>
  <c r="O33" i="3"/>
  <c r="O23" i="3" s="1"/>
  <c r="O22" i="3" s="1"/>
  <c r="O10" i="3" s="1"/>
  <c r="E33" i="3" l="1"/>
  <c r="E23" i="3" s="1"/>
  <c r="E22" i="3" s="1"/>
  <c r="I3" i="6" l="1"/>
  <c r="E10" i="3" l="1"/>
  <c r="D22" i="3"/>
  <c r="D10" i="3" s="1"/>
  <c r="C6" i="9" s="1"/>
  <c r="AB3" i="6" a="1"/>
  <c r="V3" i="6" a="1"/>
  <c r="AE3" i="6" a="1"/>
  <c r="AH3" i="6" a="1"/>
  <c r="S3" i="6" a="1"/>
  <c r="AE3" i="6" l="1"/>
  <c r="AT3" i="6" s="1"/>
  <c r="AB3" i="6"/>
  <c r="V3" i="6"/>
  <c r="S3" i="6"/>
  <c r="AR3" i="6" s="1"/>
  <c r="AH3" i="6"/>
  <c r="AI3" i="6" s="1"/>
  <c r="AS3" i="6" l="1"/>
  <c r="AL3" i="6" a="1"/>
  <c r="AL3" i="6" s="1"/>
  <c r="AM3" i="6" l="1"/>
  <c r="C63" i="7"/>
  <c r="AN3" i="6"/>
  <c r="AE4" i="6" a="1"/>
  <c r="AB4" i="6" a="1"/>
  <c r="S4" i="6" a="1"/>
  <c r="V4" i="6" a="1"/>
  <c r="AH4" i="6" a="1"/>
  <c r="BF4" i="6" a="1"/>
  <c r="AW4" i="6" a="1"/>
  <c r="BC4" i="6" a="1"/>
  <c r="AE4" i="6" l="1"/>
  <c r="AT4" i="6" s="1"/>
  <c r="AB4" i="6"/>
  <c r="V4" i="6"/>
  <c r="I4" i="6" s="1"/>
  <c r="AP3" i="6"/>
  <c r="AQ3" i="6"/>
  <c r="AH4" i="6"/>
  <c r="S4" i="6"/>
  <c r="AR4" i="6" s="1"/>
  <c r="BF4" i="6"/>
  <c r="BG4" i="6" s="1"/>
  <c r="I244" i="3" s="1"/>
  <c r="BC4" i="6"/>
  <c r="BD4" i="6" s="1"/>
  <c r="AW4" i="6"/>
  <c r="AX4" i="6" l="1"/>
  <c r="L216" i="3" s="1"/>
  <c r="AS4" i="6"/>
  <c r="AI4" i="6"/>
  <c r="D204" i="3" a="1"/>
  <c r="D204" i="3" s="1"/>
  <c r="D205" i="3"/>
  <c r="AL244" i="3"/>
  <c r="S245" i="3"/>
  <c r="AF244" i="3" s="1"/>
  <c r="AU3" i="6"/>
  <c r="D112" i="3" s="1"/>
  <c r="M218" i="3" l="1"/>
  <c r="I250" i="3" s="1"/>
  <c r="I251" i="3" s="1"/>
  <c r="S247" i="3" s="1"/>
  <c r="AF243" i="3" s="1"/>
  <c r="M217" i="3"/>
  <c r="AP216" i="3" s="1" a="1"/>
  <c r="AP216" i="3" s="1"/>
  <c r="AL4" i="6" a="1"/>
  <c r="AL4" i="6" s="1"/>
  <c r="K112" i="3"/>
  <c r="K110" i="3" s="1"/>
  <c r="K11" i="3" s="1"/>
  <c r="C64" i="7"/>
  <c r="E204" i="3"/>
  <c r="F204" i="3"/>
  <c r="K204" i="3"/>
  <c r="N204" i="3"/>
  <c r="P204" i="3"/>
  <c r="L204" i="3"/>
  <c r="G204" i="3"/>
  <c r="H204" i="3"/>
  <c r="I204" i="3"/>
  <c r="J204" i="3"/>
  <c r="M204" i="3"/>
  <c r="O204" i="3"/>
  <c r="AE5" i="6" a="1"/>
  <c r="AB5" i="6" a="1"/>
  <c r="V5" i="6" a="1"/>
  <c r="S5" i="6" a="1"/>
  <c r="AH5" i="6" a="1"/>
  <c r="AW5" i="6" a="1"/>
  <c r="BF5" i="6" a="1"/>
  <c r="BC5" i="6" a="1"/>
  <c r="AA256" i="3" l="1"/>
  <c r="Y256" i="3" s="1" a="1"/>
  <c r="Y256" i="3" s="1"/>
  <c r="AA248" i="3"/>
  <c r="Y248" i="3" s="1" a="1"/>
  <c r="Y248" i="3" s="1"/>
  <c r="AA255" i="3"/>
  <c r="Y255" i="3" s="1" a="1"/>
  <c r="Y255" i="3" s="1"/>
  <c r="AA245" i="3"/>
  <c r="Y245" i="3" s="1" a="1"/>
  <c r="Y245" i="3" s="1"/>
  <c r="AA251" i="3"/>
  <c r="Y251" i="3" s="1" a="1"/>
  <c r="Y251" i="3" s="1"/>
  <c r="AA250" i="3"/>
  <c r="Y250" i="3" s="1" a="1"/>
  <c r="Y250" i="3" s="1"/>
  <c r="AA247" i="3"/>
  <c r="Y247" i="3" s="1" a="1"/>
  <c r="Y247" i="3" s="1"/>
  <c r="AA254" i="3"/>
  <c r="Y254" i="3" s="1" a="1"/>
  <c r="Y254" i="3" s="1"/>
  <c r="AA246" i="3"/>
  <c r="Y246" i="3" s="1" a="1"/>
  <c r="Y246" i="3" s="1"/>
  <c r="AA249" i="3"/>
  <c r="Y249" i="3" s="1" a="1"/>
  <c r="Y249" i="3" s="1"/>
  <c r="AA253" i="3"/>
  <c r="Y253" i="3" s="1" a="1"/>
  <c r="Y253" i="3" s="1"/>
  <c r="AA252" i="3"/>
  <c r="Y252" i="3" s="1" a="1"/>
  <c r="Y252" i="3" s="1"/>
  <c r="AM219" i="3" a="1"/>
  <c r="AM219" i="3" s="1"/>
  <c r="AS220" i="3" a="1"/>
  <c r="AS220" i="3" s="1"/>
  <c r="AD219" i="3" a="1"/>
  <c r="AD219" i="3" s="1"/>
  <c r="AT220" i="3" a="1"/>
  <c r="AT220" i="3" s="1"/>
  <c r="Y216" i="3" a="1"/>
  <c r="Y216" i="3" s="1"/>
  <c r="AH219" i="3" a="1"/>
  <c r="AH219" i="3" s="1"/>
  <c r="AB219" i="3" a="1"/>
  <c r="AB219" i="3" s="1"/>
  <c r="AJ217" i="3" a="1"/>
  <c r="AJ217" i="3" s="1"/>
  <c r="AP221" i="3" a="1"/>
  <c r="AP221" i="3" s="1"/>
  <c r="AL218" i="3" a="1"/>
  <c r="AL218" i="3" s="1"/>
  <c r="AQ221" i="3" a="1"/>
  <c r="AQ221" i="3" s="1"/>
  <c r="AT221" i="3" a="1"/>
  <c r="AT221" i="3" s="1"/>
  <c r="AB222" i="3" a="1"/>
  <c r="AB222" i="3" s="1"/>
  <c r="AE218" i="3" a="1"/>
  <c r="AE218" i="3" s="1"/>
  <c r="AQ218" i="3" a="1"/>
  <c r="AQ218" i="3" s="1"/>
  <c r="AH217" i="3" a="1"/>
  <c r="AH217" i="3" s="1"/>
  <c r="BH217" i="3" s="1"/>
  <c r="AK221" i="3" a="1"/>
  <c r="AK221" i="3" s="1"/>
  <c r="AF217" i="3" a="1"/>
  <c r="AF217" i="3" s="1"/>
  <c r="BF217" i="3" s="1"/>
  <c r="AU217" i="3" a="1"/>
  <c r="AU217" i="3" s="1"/>
  <c r="AU216" i="3" a="1"/>
  <c r="AU216" i="3" s="1"/>
  <c r="W222" i="3" a="1"/>
  <c r="W222" i="3" s="1"/>
  <c r="AD218" i="3" a="1"/>
  <c r="AD218" i="3" s="1"/>
  <c r="Y222" i="3" a="1"/>
  <c r="Y222" i="3" s="1"/>
  <c r="AG222" i="3" a="1"/>
  <c r="AG222" i="3" s="1"/>
  <c r="AD216" i="3" a="1"/>
  <c r="AD216" i="3" s="1"/>
  <c r="Z218" i="3" a="1"/>
  <c r="Z218" i="3" s="1"/>
  <c r="AR218" i="3" a="1"/>
  <c r="AR218" i="3" s="1"/>
  <c r="AB216" i="3" a="1"/>
  <c r="AB216" i="3" s="1"/>
  <c r="AH218" i="3" a="1"/>
  <c r="AH218" i="3" s="1"/>
  <c r="AD221" i="3" a="1"/>
  <c r="AD221" i="3" s="1"/>
  <c r="AA216" i="3" a="1"/>
  <c r="AA216" i="3" s="1"/>
  <c r="AC216" i="3" a="1"/>
  <c r="AC216" i="3" s="1"/>
  <c r="BC216" i="3" s="1"/>
  <c r="AK216" i="3" a="1"/>
  <c r="AK216" i="3" s="1"/>
  <c r="Z217" i="3" a="1"/>
  <c r="Z217" i="3" s="1"/>
  <c r="AZ217" i="3" s="1"/>
  <c r="AF216" i="3" a="1"/>
  <c r="AF216" i="3" s="1"/>
  <c r="AN217" i="3" a="1"/>
  <c r="AN217" i="3" s="1"/>
  <c r="AT219" i="3" a="1"/>
  <c r="AT219" i="3" s="1"/>
  <c r="Y221" i="3" a="1"/>
  <c r="Y221" i="3" s="1"/>
  <c r="AQ220" i="3" a="1"/>
  <c r="AQ220" i="3" s="1"/>
  <c r="X218" i="3" a="1"/>
  <c r="X218" i="3" s="1"/>
  <c r="AL221" i="3" a="1"/>
  <c r="AL221" i="3" s="1"/>
  <c r="AO221" i="3" a="1"/>
  <c r="AO221" i="3" s="1"/>
  <c r="AO217" i="3" a="1"/>
  <c r="AO217" i="3" s="1"/>
  <c r="AU221" i="3" a="1"/>
  <c r="AU221" i="3" s="1"/>
  <c r="AK219" i="3" a="1"/>
  <c r="AK219" i="3" s="1"/>
  <c r="X221" i="3" a="1"/>
  <c r="X221" i="3" s="1"/>
  <c r="AE216" i="3" a="1"/>
  <c r="AE216" i="3" s="1"/>
  <c r="AD217" i="3" a="1"/>
  <c r="AD217" i="3" s="1"/>
  <c r="BD217" i="3" s="1"/>
  <c r="W220" i="3" a="1"/>
  <c r="W220" i="3" s="1"/>
  <c r="AQ216" i="3" a="1"/>
  <c r="AQ216" i="3" s="1"/>
  <c r="AA220" i="3" a="1"/>
  <c r="AA220" i="3" s="1"/>
  <c r="AC217" i="3" a="1"/>
  <c r="AC217" i="3" s="1"/>
  <c r="BC217" i="3" s="1"/>
  <c r="AQ217" i="3" a="1"/>
  <c r="AQ217" i="3" s="1"/>
  <c r="AO219" i="3" a="1"/>
  <c r="AO219" i="3" s="1"/>
  <c r="AF220" i="3" a="1"/>
  <c r="AF220" i="3" s="1"/>
  <c r="AQ219" i="3" a="1"/>
  <c r="AQ219" i="3" s="1"/>
  <c r="AR217" i="3" a="1"/>
  <c r="AR217" i="3" s="1"/>
  <c r="AE222" i="3" a="1"/>
  <c r="AE222" i="3" s="1"/>
  <c r="Y219" i="3" a="1"/>
  <c r="Y219" i="3" s="1"/>
  <c r="AF222" i="3" a="1"/>
  <c r="AF222" i="3" s="1"/>
  <c r="AC221" i="3" a="1"/>
  <c r="AC221" i="3" s="1"/>
  <c r="X216" i="3" a="1"/>
  <c r="X216" i="3" s="1"/>
  <c r="AA222" i="3" a="1"/>
  <c r="AA222" i="3" s="1"/>
  <c r="AU220" i="3" a="1"/>
  <c r="AU220" i="3" s="1"/>
  <c r="AH221" i="3" a="1"/>
  <c r="AH221" i="3" s="1"/>
  <c r="AL217" i="3" a="1"/>
  <c r="AL217" i="3" s="1"/>
  <c r="AS218" i="3" a="1"/>
  <c r="AS218" i="3" s="1"/>
  <c r="AN220" i="3" a="1"/>
  <c r="AN220" i="3" s="1"/>
  <c r="AJ221" i="3" a="1"/>
  <c r="AJ221" i="3" s="1"/>
  <c r="AE219" i="3" a="1"/>
  <c r="AE219" i="3" s="1"/>
  <c r="AB217" i="3" a="1"/>
  <c r="AB217" i="3" s="1"/>
  <c r="BB217" i="3" s="1"/>
  <c r="Y218" i="3" a="1"/>
  <c r="Y218" i="3" s="1"/>
  <c r="W216" i="3" a="1"/>
  <c r="W216" i="3" s="1"/>
  <c r="AO220" i="3" a="1"/>
  <c r="AO220" i="3" s="1"/>
  <c r="AC220" i="3" a="1"/>
  <c r="AC220" i="3" s="1"/>
  <c r="AS221" i="3" a="1"/>
  <c r="AS221" i="3" s="1"/>
  <c r="AA217" i="3" a="1"/>
  <c r="AA217" i="3" s="1"/>
  <c r="BA217" i="3" s="1"/>
  <c r="W218" i="3" a="1"/>
  <c r="W218" i="3" s="1"/>
  <c r="X217" i="3" a="1"/>
  <c r="X217" i="3" s="1"/>
  <c r="AX217" i="3" s="1"/>
  <c r="AM221" i="3" a="1"/>
  <c r="AM221" i="3" s="1"/>
  <c r="AA219" i="3" a="1"/>
  <c r="AA219" i="3" s="1"/>
  <c r="AB221" i="3" a="1"/>
  <c r="AB221" i="3" s="1"/>
  <c r="AC222" i="3" a="1"/>
  <c r="AC222" i="3" s="1"/>
  <c r="AL219" i="3" a="1"/>
  <c r="AL219" i="3" s="1"/>
  <c r="AH216" i="3" a="1"/>
  <c r="AH216" i="3" s="1"/>
  <c r="Z219" i="3" a="1"/>
  <c r="Z219" i="3" s="1"/>
  <c r="AP217" i="3" a="1"/>
  <c r="AP217" i="3" s="1"/>
  <c r="AF221" i="3" a="1"/>
  <c r="AF221" i="3" s="1"/>
  <c r="AP220" i="3" a="1"/>
  <c r="AP220" i="3" s="1"/>
  <c r="W221" i="3" a="1"/>
  <c r="W221" i="3" s="1"/>
  <c r="AM216" i="3" a="1"/>
  <c r="AM216" i="3" s="1"/>
  <c r="Z216" i="3" a="1"/>
  <c r="Z216" i="3" s="1"/>
  <c r="AC218" i="3" a="1"/>
  <c r="AC218" i="3" s="1"/>
  <c r="AC219" i="3" a="1"/>
  <c r="AC219" i="3" s="1"/>
  <c r="AD222" i="3" a="1"/>
  <c r="AD222" i="3" s="1"/>
  <c r="Z221" i="3" a="1"/>
  <c r="Z221" i="3" s="1"/>
  <c r="X219" i="3" a="1"/>
  <c r="X219" i="3" s="1"/>
  <c r="AG217" i="3" a="1"/>
  <c r="AG217" i="3" s="1"/>
  <c r="BG217" i="3" s="1"/>
  <c r="AO218" i="3" a="1"/>
  <c r="AO218" i="3" s="1"/>
  <c r="AU218" i="3" a="1"/>
  <c r="AU218" i="3" s="1"/>
  <c r="AJ220" i="3" a="1"/>
  <c r="AJ220" i="3" s="1"/>
  <c r="AA221" i="3" a="1"/>
  <c r="AA221" i="3" s="1"/>
  <c r="AL216" i="3" a="1"/>
  <c r="AL216" i="3" s="1"/>
  <c r="AT217" i="3" a="1"/>
  <c r="AT217" i="3" s="1"/>
  <c r="Z220" i="3" a="1"/>
  <c r="Z220" i="3" s="1"/>
  <c r="AR219" i="3" a="1"/>
  <c r="AR219" i="3" s="1"/>
  <c r="AO216" i="3" a="1"/>
  <c r="AO216" i="3" s="1"/>
  <c r="AR216" i="3" a="1"/>
  <c r="AR216" i="3" s="1"/>
  <c r="AS219" i="3" a="1"/>
  <c r="AS219" i="3" s="1"/>
  <c r="AT218" i="3" a="1"/>
  <c r="AT218" i="3" s="1"/>
  <c r="AL220" i="3" a="1"/>
  <c r="AL220" i="3" s="1"/>
  <c r="AG220" i="3" a="1"/>
  <c r="AG220" i="3" s="1"/>
  <c r="AK220" i="3" a="1"/>
  <c r="AK220" i="3" s="1"/>
  <c r="AG221" i="3" a="1"/>
  <c r="AG221" i="3" s="1"/>
  <c r="AJ216" i="3" a="1"/>
  <c r="AJ216" i="3" s="1"/>
  <c r="AH222" i="3" a="1"/>
  <c r="AH222" i="3" s="1"/>
  <c r="AP218" i="3" a="1"/>
  <c r="AP218" i="3" s="1"/>
  <c r="AS216" i="3" a="1"/>
  <c r="AS216" i="3" s="1"/>
  <c r="AN218" i="3" a="1"/>
  <c r="AN218" i="3" s="1"/>
  <c r="AB220" i="3" a="1"/>
  <c r="AB220" i="3" s="1"/>
  <c r="AB218" i="3" a="1"/>
  <c r="AB218" i="3" s="1"/>
  <c r="AR221" i="3" a="1"/>
  <c r="AR221" i="3" s="1"/>
  <c r="AM220" i="3" a="1"/>
  <c r="AM220" i="3" s="1"/>
  <c r="AF219" i="3" a="1"/>
  <c r="AF219" i="3" s="1"/>
  <c r="AA218" i="3" a="1"/>
  <c r="AA218" i="3" s="1"/>
  <c r="X220" i="3" a="1"/>
  <c r="X220" i="3" s="1"/>
  <c r="AK218" i="3" a="1"/>
  <c r="AK218" i="3" s="1"/>
  <c r="AG219" i="3" a="1"/>
  <c r="AG219" i="3" s="1"/>
  <c r="AG216" i="3" a="1"/>
  <c r="AG216" i="3" s="1"/>
  <c r="AJ219" i="3" a="1"/>
  <c r="AJ219" i="3" s="1"/>
  <c r="AF218" i="3" a="1"/>
  <c r="AF218" i="3" s="1"/>
  <c r="AT216" i="3" a="1"/>
  <c r="AT216" i="3" s="1"/>
  <c r="W217" i="3" a="1"/>
  <c r="W217" i="3" s="1"/>
  <c r="AW217" i="3" s="1"/>
  <c r="X222" i="3" a="1"/>
  <c r="X222" i="3" s="1"/>
  <c r="AD220" i="3" a="1"/>
  <c r="AD220" i="3" s="1"/>
  <c r="AM218" i="3" a="1"/>
  <c r="AM218" i="3" s="1"/>
  <c r="AE221" i="3" a="1"/>
  <c r="AE221" i="3" s="1"/>
  <c r="AU219" i="3" a="1"/>
  <c r="AU219" i="3" s="1"/>
  <c r="Y217" i="3" a="1"/>
  <c r="Y217" i="3" s="1"/>
  <c r="AY217" i="3" s="1"/>
  <c r="AN221" i="3" a="1"/>
  <c r="AN221" i="3" s="1"/>
  <c r="Z222" i="3" a="1"/>
  <c r="Z222" i="3" s="1"/>
  <c r="AH220" i="3" a="1"/>
  <c r="AH220" i="3" s="1"/>
  <c r="AK217" i="3" a="1"/>
  <c r="AK217" i="3" s="1"/>
  <c r="AE220" i="3" a="1"/>
  <c r="AE220" i="3" s="1"/>
  <c r="AG218" i="3" a="1"/>
  <c r="AG218" i="3" s="1"/>
  <c r="AP219" i="3" a="1"/>
  <c r="AP219" i="3" s="1"/>
  <c r="AM217" i="3" a="1"/>
  <c r="AM217" i="3" s="1"/>
  <c r="AJ218" i="3" a="1"/>
  <c r="AJ218" i="3" s="1"/>
  <c r="AS217" i="3" a="1"/>
  <c r="AS217" i="3" s="1"/>
  <c r="W219" i="3" a="1"/>
  <c r="W219" i="3" s="1"/>
  <c r="AE217" i="3" a="1"/>
  <c r="AE217" i="3" s="1"/>
  <c r="BE217" i="3" s="1"/>
  <c r="Y220" i="3" a="1"/>
  <c r="Y220" i="3" s="1"/>
  <c r="AN219" i="3" a="1"/>
  <c r="AN219" i="3" s="1"/>
  <c r="AR220" i="3" a="1"/>
  <c r="AR220" i="3" s="1"/>
  <c r="AN216" i="3" a="1"/>
  <c r="AN216" i="3" s="1"/>
  <c r="AL248" i="3"/>
  <c r="AX254" i="3" s="1"/>
  <c r="AT255" i="3" s="1"/>
  <c r="AR255" i="3" s="1" a="1"/>
  <c r="AR255" i="3" s="1"/>
  <c r="AE5" i="6"/>
  <c r="AT5" i="6" s="1"/>
  <c r="AB5" i="6"/>
  <c r="V5" i="6"/>
  <c r="I5" i="6" s="1"/>
  <c r="AH5" i="6"/>
  <c r="AI5" i="6" s="1"/>
  <c r="S5" i="6"/>
  <c r="AR5" i="6" s="1"/>
  <c r="AN4" i="6"/>
  <c r="C83" i="7"/>
  <c r="AM4" i="6"/>
  <c r="H112" i="3"/>
  <c r="H110" i="3" s="1"/>
  <c r="H11" i="3" s="1"/>
  <c r="E112" i="3"/>
  <c r="E110" i="3" s="1"/>
  <c r="E11" i="3" s="1"/>
  <c r="N112" i="3"/>
  <c r="N110" i="3" s="1"/>
  <c r="N11" i="3" s="1"/>
  <c r="F112" i="3"/>
  <c r="F110" i="3" s="1"/>
  <c r="F11" i="3" s="1"/>
  <c r="M112" i="3"/>
  <c r="M110" i="3" s="1"/>
  <c r="M11" i="3" s="1"/>
  <c r="P112" i="3"/>
  <c r="P110" i="3" s="1"/>
  <c r="P11" i="3" s="1"/>
  <c r="J112" i="3"/>
  <c r="J110" i="3" s="1"/>
  <c r="J11" i="3" s="1"/>
  <c r="L112" i="3"/>
  <c r="L110" i="3" s="1"/>
  <c r="L11" i="3" s="1"/>
  <c r="O112" i="3"/>
  <c r="O110" i="3" s="1"/>
  <c r="O11" i="3" s="1"/>
  <c r="G112" i="3"/>
  <c r="G110" i="3" s="1"/>
  <c r="G11" i="3" s="1"/>
  <c r="I112" i="3"/>
  <c r="I110" i="3" s="1"/>
  <c r="I11" i="3" s="1"/>
  <c r="BF5" i="6"/>
  <c r="BG5" i="6" s="1"/>
  <c r="I333" i="3" s="1"/>
  <c r="BC5" i="6"/>
  <c r="BD5" i="6" s="1"/>
  <c r="AW5" i="6"/>
  <c r="Z238" i="3" l="1"/>
  <c r="W260" i="3" s="1"/>
  <c r="BC211" i="3"/>
  <c r="K209" i="3" s="1"/>
  <c r="AX216" i="3"/>
  <c r="AX211" i="3" s="1"/>
  <c r="F209" i="3" s="1"/>
  <c r="AW216" i="3"/>
  <c r="AW211" i="3" s="1"/>
  <c r="E209" i="3" s="1"/>
  <c r="BB216" i="3"/>
  <c r="BB211" i="3" s="1"/>
  <c r="J209" i="3" s="1"/>
  <c r="BD216" i="3"/>
  <c r="BD211" i="3" s="1"/>
  <c r="L209" i="3" s="1"/>
  <c r="AY216" i="3"/>
  <c r="AY211" i="3" s="1"/>
  <c r="G209" i="3" s="1"/>
  <c r="BH216" i="3"/>
  <c r="BH211" i="3" s="1"/>
  <c r="P209" i="3" s="1"/>
  <c r="AZ216" i="3"/>
  <c r="AZ211" i="3" s="1"/>
  <c r="H209" i="3" s="1"/>
  <c r="AT251" i="3"/>
  <c r="AR251" i="3" s="1" a="1"/>
  <c r="AR251" i="3" s="1"/>
  <c r="V238" i="3" s="1"/>
  <c r="AT247" i="3"/>
  <c r="AR247" i="3" s="1" a="1"/>
  <c r="AR247" i="3" s="1"/>
  <c r="R238" i="3" s="1"/>
  <c r="BE216" i="3"/>
  <c r="BE211" i="3" s="1"/>
  <c r="M209" i="3" s="1"/>
  <c r="AT253" i="3"/>
  <c r="AR253" i="3" s="1" a="1"/>
  <c r="AR253" i="3" s="1"/>
  <c r="X238" i="3" s="1"/>
  <c r="AT250" i="3"/>
  <c r="AR250" i="3" s="1" a="1"/>
  <c r="AR250" i="3" s="1"/>
  <c r="U238" i="3" s="1"/>
  <c r="AT256" i="3"/>
  <c r="AR256" i="3" s="1" a="1"/>
  <c r="AR256" i="3" s="1"/>
  <c r="AA238" i="3" s="1"/>
  <c r="AT248" i="3"/>
  <c r="AR248" i="3" s="1" a="1"/>
  <c r="AR248" i="3" s="1"/>
  <c r="S238" i="3" s="1"/>
  <c r="AT246" i="3"/>
  <c r="AR246" i="3" s="1" a="1"/>
  <c r="AR246" i="3" s="1"/>
  <c r="Q238" i="3" s="1"/>
  <c r="BA216" i="3"/>
  <c r="BA211" i="3" s="1"/>
  <c r="I209" i="3" s="1"/>
  <c r="BF216" i="3"/>
  <c r="BF211" i="3" s="1"/>
  <c r="N209" i="3" s="1"/>
  <c r="BG216" i="3"/>
  <c r="BG211" i="3" s="1"/>
  <c r="O209" i="3" s="1"/>
  <c r="AT252" i="3"/>
  <c r="AR252" i="3" s="1" a="1"/>
  <c r="AR252" i="3" s="1"/>
  <c r="W238" i="3" s="1"/>
  <c r="AT254" i="3"/>
  <c r="AR254" i="3" s="1" a="1"/>
  <c r="AR254" i="3" s="1"/>
  <c r="Y238" i="3" s="1"/>
  <c r="AT245" i="3"/>
  <c r="AR245" i="3" s="1" a="1"/>
  <c r="AR245" i="3" s="1"/>
  <c r="P238" i="3" s="1"/>
  <c r="AT249" i="3"/>
  <c r="AR249" i="3" s="1" a="1"/>
  <c r="AR249" i="3" s="1"/>
  <c r="T238" i="3" s="1"/>
  <c r="Q260" i="3" s="1"/>
  <c r="Q262" i="3" s="1"/>
  <c r="I206" i="3" s="1"/>
  <c r="AX5" i="6"/>
  <c r="L305" i="3" s="1"/>
  <c r="AS5" i="6"/>
  <c r="AP4" i="6"/>
  <c r="AQ4" i="6"/>
  <c r="AL5" i="6" a="1"/>
  <c r="AL5" i="6" s="1"/>
  <c r="D110" i="3"/>
  <c r="D11" i="3" s="1"/>
  <c r="D293" i="3" a="1"/>
  <c r="D293" i="3" s="1"/>
  <c r="D294" i="3"/>
  <c r="S334" i="3"/>
  <c r="AF333" i="3" s="1"/>
  <c r="AL333" i="3"/>
  <c r="AE6" i="6" a="1"/>
  <c r="AB6" i="6" a="1"/>
  <c r="V6" i="6" a="1"/>
  <c r="AH6" i="6" a="1"/>
  <c r="S6" i="6" a="1"/>
  <c r="O211" i="3" l="1"/>
  <c r="O199" i="3" s="1"/>
  <c r="M260" i="3"/>
  <c r="M262" i="3" s="1"/>
  <c r="E206" i="3" s="1"/>
  <c r="E211" i="3"/>
  <c r="E199" i="3" s="1"/>
  <c r="M211" i="3"/>
  <c r="M199" i="3" s="1"/>
  <c r="U260" i="3"/>
  <c r="U262" i="3" s="1"/>
  <c r="M206" i="3" s="1"/>
  <c r="J211" i="3"/>
  <c r="J199" i="3" s="1"/>
  <c r="R260" i="3"/>
  <c r="R262" i="3" s="1"/>
  <c r="J206" i="3" s="1"/>
  <c r="K211" i="3"/>
  <c r="K199" i="3" s="1"/>
  <c r="S260" i="3"/>
  <c r="S262" i="3" s="1"/>
  <c r="K206" i="3" s="1"/>
  <c r="G211" i="3"/>
  <c r="G199" i="3" s="1"/>
  <c r="O260" i="3"/>
  <c r="O262" i="3" s="1"/>
  <c r="G206" i="3" s="1"/>
  <c r="T260" i="3"/>
  <c r="T262" i="3" s="1"/>
  <c r="L206" i="3" s="1"/>
  <c r="L211" i="3"/>
  <c r="L199" i="3" s="1"/>
  <c r="H211" i="3"/>
  <c r="H199" i="3" s="1"/>
  <c r="P260" i="3"/>
  <c r="P262" i="3" s="1"/>
  <c r="H206" i="3" s="1"/>
  <c r="V260" i="3"/>
  <c r="V262" i="3" s="1"/>
  <c r="N206" i="3" s="1"/>
  <c r="N211" i="3"/>
  <c r="N199" i="3" s="1"/>
  <c r="N260" i="3"/>
  <c r="N262" i="3" s="1"/>
  <c r="F206" i="3" s="1"/>
  <c r="F211" i="3"/>
  <c r="F199" i="3" s="1"/>
  <c r="X260" i="3"/>
  <c r="X262" i="3" s="1"/>
  <c r="P206" i="3" s="1"/>
  <c r="P211" i="3"/>
  <c r="P199" i="3" s="1"/>
  <c r="I211" i="3"/>
  <c r="I199" i="3" s="1"/>
  <c r="C7" i="9"/>
  <c r="M307" i="3"/>
  <c r="I339" i="3" s="1"/>
  <c r="I340" i="3" s="1"/>
  <c r="AL337" i="3" s="1"/>
  <c r="AX343" i="3" s="1"/>
  <c r="M306" i="3"/>
  <c r="AQ307" i="3" s="1" a="1"/>
  <c r="AQ307" i="3" s="1"/>
  <c r="W262" i="3"/>
  <c r="O206" i="3" s="1"/>
  <c r="AE6" i="6"/>
  <c r="AT6" i="6" s="1"/>
  <c r="AB6" i="6"/>
  <c r="AU4" i="6"/>
  <c r="V6" i="6"/>
  <c r="I6" i="6" s="1"/>
  <c r="AH6" i="6"/>
  <c r="AI6" i="6" s="1"/>
  <c r="AN5" i="6"/>
  <c r="AP5" i="6" s="1"/>
  <c r="C103" i="7"/>
  <c r="AM5" i="6"/>
  <c r="M293" i="3"/>
  <c r="G293" i="3"/>
  <c r="N293" i="3"/>
  <c r="J293" i="3"/>
  <c r="O293" i="3"/>
  <c r="I293" i="3"/>
  <c r="K293" i="3"/>
  <c r="H293" i="3"/>
  <c r="F293" i="3"/>
  <c r="E293" i="3"/>
  <c r="L293" i="3"/>
  <c r="P293" i="3"/>
  <c r="S6" i="6"/>
  <c r="AR6" i="6" s="1"/>
  <c r="D200" i="3" l="1"/>
  <c r="L200" i="3" s="1"/>
  <c r="L198" i="3" s="1"/>
  <c r="L12" i="3" s="1"/>
  <c r="Y305" i="3" a="1"/>
  <c r="Y305" i="3" s="1"/>
  <c r="AY305" i="3" s="1"/>
  <c r="AM306" i="3" a="1"/>
  <c r="AM306" i="3" s="1"/>
  <c r="Z311" i="3" a="1"/>
  <c r="Z311" i="3" s="1"/>
  <c r="W310" i="3" a="1"/>
  <c r="W310" i="3" s="1"/>
  <c r="AF309" i="3" a="1"/>
  <c r="AF309" i="3" s="1"/>
  <c r="AF305" i="3" a="1"/>
  <c r="AF305" i="3" s="1"/>
  <c r="BF305" i="3" s="1"/>
  <c r="AE305" i="3" a="1"/>
  <c r="AE305" i="3" s="1"/>
  <c r="BE305" i="3" s="1"/>
  <c r="AH305" i="3" a="1"/>
  <c r="AH305" i="3" s="1"/>
  <c r="BH305" i="3" s="1"/>
  <c r="AG311" i="3" a="1"/>
  <c r="AG311" i="3" s="1"/>
  <c r="AA309" i="3" a="1"/>
  <c r="AA309" i="3" s="1"/>
  <c r="AQ306" i="3" a="1"/>
  <c r="AQ306" i="3" s="1"/>
  <c r="AM308" i="3" a="1"/>
  <c r="AM308" i="3" s="1"/>
  <c r="AL306" i="3" a="1"/>
  <c r="AL306" i="3" s="1"/>
  <c r="AL305" i="3" a="1"/>
  <c r="AL305" i="3" s="1"/>
  <c r="AS306" i="3" a="1"/>
  <c r="AS306" i="3" s="1"/>
  <c r="AS308" i="3" a="1"/>
  <c r="AS308" i="3" s="1"/>
  <c r="W305" i="3" a="1"/>
  <c r="W305" i="3" s="1"/>
  <c r="AW305" i="3" s="1"/>
  <c r="AB306" i="3" a="1"/>
  <c r="AB306" i="3" s="1"/>
  <c r="BB306" i="3" s="1"/>
  <c r="Y309" i="3" a="1"/>
  <c r="Y309" i="3" s="1"/>
  <c r="AD307" i="3" a="1"/>
  <c r="AD307" i="3" s="1"/>
  <c r="AQ305" i="3" a="1"/>
  <c r="AQ305" i="3" s="1"/>
  <c r="AA307" i="3" a="1"/>
  <c r="AA307" i="3" s="1"/>
  <c r="AD306" i="3" a="1"/>
  <c r="AD306" i="3" s="1"/>
  <c r="BD306" i="3" s="1"/>
  <c r="AF311" i="3" a="1"/>
  <c r="AF311" i="3" s="1"/>
  <c r="AT309" i="3" a="1"/>
  <c r="AT309" i="3" s="1"/>
  <c r="AO308" i="3" a="1"/>
  <c r="AO308" i="3" s="1"/>
  <c r="AH309" i="3" a="1"/>
  <c r="AH309" i="3" s="1"/>
  <c r="X309" i="3" a="1"/>
  <c r="X309" i="3" s="1"/>
  <c r="X305" i="3" a="1"/>
  <c r="X305" i="3" s="1"/>
  <c r="AX305" i="3" s="1"/>
  <c r="AP309" i="3" a="1"/>
  <c r="AP309" i="3" s="1"/>
  <c r="AD310" i="3" a="1"/>
  <c r="AD310" i="3" s="1"/>
  <c r="AD309" i="3" a="1"/>
  <c r="AD309" i="3" s="1"/>
  <c r="AO310" i="3" a="1"/>
  <c r="AO310" i="3" s="1"/>
  <c r="AF310" i="3" a="1"/>
  <c r="AF310" i="3" s="1"/>
  <c r="X310" i="3" a="1"/>
  <c r="X310" i="3" s="1"/>
  <c r="AT310" i="3" a="1"/>
  <c r="AT310" i="3" s="1"/>
  <c r="AT308" i="3" a="1"/>
  <c r="AT308" i="3" s="1"/>
  <c r="AE308" i="3" a="1"/>
  <c r="AE308" i="3" s="1"/>
  <c r="Z306" i="3" a="1"/>
  <c r="Z306" i="3" s="1"/>
  <c r="AZ306" i="3" s="1"/>
  <c r="AH308" i="3" a="1"/>
  <c r="AH308" i="3" s="1"/>
  <c r="AG305" i="3" a="1"/>
  <c r="AG305" i="3" s="1"/>
  <c r="BG305" i="3" s="1"/>
  <c r="AD305" i="3" a="1"/>
  <c r="AD305" i="3" s="1"/>
  <c r="BD305" i="3" s="1"/>
  <c r="S336" i="3"/>
  <c r="AF332" i="3" s="1"/>
  <c r="AP310" i="3" a="1"/>
  <c r="AP310" i="3" s="1"/>
  <c r="AO307" i="3" a="1"/>
  <c r="AO307" i="3" s="1"/>
  <c r="AJ305" i="3" a="1"/>
  <c r="AJ305" i="3" s="1"/>
  <c r="AT306" i="3" a="1"/>
  <c r="AT306" i="3" s="1"/>
  <c r="AR306" i="3" a="1"/>
  <c r="AR306" i="3" s="1"/>
  <c r="AG306" i="3" a="1"/>
  <c r="AG306" i="3" s="1"/>
  <c r="BG306" i="3" s="1"/>
  <c r="Z307" i="3" a="1"/>
  <c r="Z307" i="3" s="1"/>
  <c r="AB309" i="3" a="1"/>
  <c r="AB309" i="3" s="1"/>
  <c r="AF308" i="3" a="1"/>
  <c r="AF308" i="3" s="1"/>
  <c r="AN309" i="3" a="1"/>
  <c r="AN309" i="3" s="1"/>
  <c r="AU310" i="3" a="1"/>
  <c r="AU310" i="3" s="1"/>
  <c r="AC311" i="3" a="1"/>
  <c r="AC311" i="3" s="1"/>
  <c r="AM309" i="3" a="1"/>
  <c r="AM309" i="3" s="1"/>
  <c r="AQ308" i="3" a="1"/>
  <c r="AQ308" i="3" s="1"/>
  <c r="AH311" i="3" a="1"/>
  <c r="AH311" i="3" s="1"/>
  <c r="AC306" i="3" a="1"/>
  <c r="AC306" i="3" s="1"/>
  <c r="BC306" i="3" s="1"/>
  <c r="W311" i="3" a="1"/>
  <c r="W311" i="3" s="1"/>
  <c r="AA310" i="3" a="1"/>
  <c r="AA310" i="3" s="1"/>
  <c r="X307" i="3" a="1"/>
  <c r="X307" i="3" s="1"/>
  <c r="AU306" i="3" a="1"/>
  <c r="AU306" i="3" s="1"/>
  <c r="AH307" i="3" a="1"/>
  <c r="AH307" i="3" s="1"/>
  <c r="AG309" i="3" a="1"/>
  <c r="AG309" i="3" s="1"/>
  <c r="AL308" i="3" a="1"/>
  <c r="AL308" i="3" s="1"/>
  <c r="AQ310" i="3" a="1"/>
  <c r="AQ310" i="3" s="1"/>
  <c r="AD308" i="3" a="1"/>
  <c r="AD308" i="3" s="1"/>
  <c r="AS310" i="3" a="1"/>
  <c r="AS310" i="3" s="1"/>
  <c r="Y307" i="3" a="1"/>
  <c r="Y307" i="3" s="1"/>
  <c r="AL310" i="3" a="1"/>
  <c r="AL310" i="3" s="1"/>
  <c r="AA306" i="3" a="1"/>
  <c r="AA306" i="3" s="1"/>
  <c r="BA306" i="3" s="1"/>
  <c r="AT307" i="3" a="1"/>
  <c r="AT307" i="3" s="1"/>
  <c r="AT305" i="3" a="1"/>
  <c r="AT305" i="3" s="1"/>
  <c r="AM307" i="3" a="1"/>
  <c r="AM307" i="3" s="1"/>
  <c r="AE311" i="3" a="1"/>
  <c r="AE311" i="3" s="1"/>
  <c r="Z305" i="3" a="1"/>
  <c r="Z305" i="3" s="1"/>
  <c r="AZ305" i="3" s="1"/>
  <c r="AH306" i="3" a="1"/>
  <c r="AH306" i="3" s="1"/>
  <c r="BH306" i="3" s="1"/>
  <c r="AE310" i="3" a="1"/>
  <c r="AE310" i="3" s="1"/>
  <c r="W309" i="3" a="1"/>
  <c r="W309" i="3" s="1"/>
  <c r="AK305" i="3" a="1"/>
  <c r="AK305" i="3" s="1"/>
  <c r="AM305" i="3" a="1"/>
  <c r="AM305" i="3" s="1"/>
  <c r="AO306" i="3" a="1"/>
  <c r="AO306" i="3" s="1"/>
  <c r="AF306" i="3" a="1"/>
  <c r="AF306" i="3" s="1"/>
  <c r="BF306" i="3" s="1"/>
  <c r="AA305" i="3" a="1"/>
  <c r="AA305" i="3" s="1"/>
  <c r="BA305" i="3" s="1"/>
  <c r="AN307" i="3" a="1"/>
  <c r="AN307" i="3" s="1"/>
  <c r="AB308" i="3" a="1"/>
  <c r="AB308" i="3" s="1"/>
  <c r="AE309" i="3" a="1"/>
  <c r="AE309" i="3" s="1"/>
  <c r="Y311" i="3" a="1"/>
  <c r="Y311" i="3" s="1"/>
  <c r="AO309" i="3" a="1"/>
  <c r="AO309" i="3" s="1"/>
  <c r="AD311" i="3" a="1"/>
  <c r="AD311" i="3" s="1"/>
  <c r="AR308" i="3" a="1"/>
  <c r="AR308" i="3" s="1"/>
  <c r="AU305" i="3" a="1"/>
  <c r="AU305" i="3" s="1"/>
  <c r="AF307" i="3" a="1"/>
  <c r="AF307" i="3" s="1"/>
  <c r="AR309" i="3" a="1"/>
  <c r="AR309" i="3" s="1"/>
  <c r="W307" i="3" a="1"/>
  <c r="W307" i="3" s="1"/>
  <c r="AG308" i="3" a="1"/>
  <c r="AG308" i="3" s="1"/>
  <c r="Y310" i="3" a="1"/>
  <c r="Y310" i="3" s="1"/>
  <c r="AL309" i="3" a="1"/>
  <c r="AL309" i="3" s="1"/>
  <c r="AE306" i="3" a="1"/>
  <c r="AE306" i="3" s="1"/>
  <c r="BE306" i="3" s="1"/>
  <c r="AA308" i="3" a="1"/>
  <c r="AA308" i="3" s="1"/>
  <c r="W306" i="3" a="1"/>
  <c r="W306" i="3" s="1"/>
  <c r="AW306" i="3" s="1"/>
  <c r="X311" i="3" a="1"/>
  <c r="X311" i="3" s="1"/>
  <c r="AC308" i="3" a="1"/>
  <c r="AC308" i="3" s="1"/>
  <c r="AL307" i="3" a="1"/>
  <c r="AL307" i="3" s="1"/>
  <c r="Z309" i="3" a="1"/>
  <c r="Z309" i="3" s="1"/>
  <c r="AK310" i="3" a="1"/>
  <c r="AK310" i="3" s="1"/>
  <c r="AS309" i="3" a="1"/>
  <c r="AS309" i="3" s="1"/>
  <c r="AR310" i="3" a="1"/>
  <c r="AR310" i="3" s="1"/>
  <c r="AS305" i="3" a="1"/>
  <c r="AS305" i="3" s="1"/>
  <c r="AP308" i="3" a="1"/>
  <c r="AP308" i="3" s="1"/>
  <c r="AH310" i="3" a="1"/>
  <c r="AH310" i="3" s="1"/>
  <c r="AJ307" i="3" a="1"/>
  <c r="AJ307" i="3" s="1"/>
  <c r="Y306" i="3" a="1"/>
  <c r="Y306" i="3" s="1"/>
  <c r="AY306" i="3" s="1"/>
  <c r="AK307" i="3" a="1"/>
  <c r="AK307" i="3" s="1"/>
  <c r="Z310" i="3" a="1"/>
  <c r="Z310" i="3" s="1"/>
  <c r="AB307" i="3" a="1"/>
  <c r="AB307" i="3" s="1"/>
  <c r="AN308" i="3" a="1"/>
  <c r="AN308" i="3" s="1"/>
  <c r="AA311" i="3" a="1"/>
  <c r="AA311" i="3" s="1"/>
  <c r="X306" i="3" a="1"/>
  <c r="X306" i="3" s="1"/>
  <c r="AX306" i="3" s="1"/>
  <c r="AU308" i="3" a="1"/>
  <c r="AU308" i="3" s="1"/>
  <c r="AN306" i="3" a="1"/>
  <c r="AN306" i="3" s="1"/>
  <c r="AE307" i="3" a="1"/>
  <c r="AE307" i="3" s="1"/>
  <c r="AC305" i="3" a="1"/>
  <c r="AC305" i="3" s="1"/>
  <c r="BC305" i="3" s="1"/>
  <c r="AC310" i="3" a="1"/>
  <c r="AC310" i="3" s="1"/>
  <c r="AQ309" i="3" a="1"/>
  <c r="AQ309" i="3" s="1"/>
  <c r="AK306" i="3" a="1"/>
  <c r="AK306" i="3" s="1"/>
  <c r="W308" i="3" a="1"/>
  <c r="W308" i="3" s="1"/>
  <c r="AJ308" i="3" a="1"/>
  <c r="AJ308" i="3" s="1"/>
  <c r="AR307" i="3" a="1"/>
  <c r="AR307" i="3" s="1"/>
  <c r="Y308" i="3" a="1"/>
  <c r="Y308" i="3" s="1"/>
  <c r="AN310" i="3" a="1"/>
  <c r="AN310" i="3" s="1"/>
  <c r="AB310" i="3" a="1"/>
  <c r="AB310" i="3" s="1"/>
  <c r="AP306" i="3" a="1"/>
  <c r="AP306" i="3" s="1"/>
  <c r="AP307" i="3" a="1"/>
  <c r="AP307" i="3" s="1"/>
  <c r="AO305" i="3" a="1"/>
  <c r="AO305" i="3" s="1"/>
  <c r="AG307" i="3" a="1"/>
  <c r="AG307" i="3" s="1"/>
  <c r="AC309" i="3" a="1"/>
  <c r="AC309" i="3" s="1"/>
  <c r="AJ310" i="3" a="1"/>
  <c r="AJ310" i="3" s="1"/>
  <c r="AB305" i="3" a="1"/>
  <c r="AB305" i="3" s="1"/>
  <c r="BB305" i="3" s="1"/>
  <c r="Z308" i="3" a="1"/>
  <c r="Z308" i="3" s="1"/>
  <c r="AR305" i="3" a="1"/>
  <c r="AR305" i="3" s="1"/>
  <c r="AJ306" i="3" a="1"/>
  <c r="AJ306" i="3" s="1"/>
  <c r="AG310" i="3" a="1"/>
  <c r="AG310" i="3" s="1"/>
  <c r="AC307" i="3" a="1"/>
  <c r="AC307" i="3" s="1"/>
  <c r="AU307" i="3" a="1"/>
  <c r="AU307" i="3" s="1"/>
  <c r="AP305" i="3" a="1"/>
  <c r="AP305" i="3" s="1"/>
  <c r="AK309" i="3" a="1"/>
  <c r="AK309" i="3" s="1"/>
  <c r="AB311" i="3" a="1"/>
  <c r="AB311" i="3" s="1"/>
  <c r="X308" i="3" a="1"/>
  <c r="X308" i="3" s="1"/>
  <c r="AJ309" i="3" a="1"/>
  <c r="AJ309" i="3" s="1"/>
  <c r="AS307" i="3" a="1"/>
  <c r="AS307" i="3" s="1"/>
  <c r="AU309" i="3" a="1"/>
  <c r="AU309" i="3" s="1"/>
  <c r="AM310" i="3" a="1"/>
  <c r="AM310" i="3" s="1"/>
  <c r="AN305" i="3" a="1"/>
  <c r="AN305" i="3" s="1"/>
  <c r="AK308" i="3" a="1"/>
  <c r="AK308" i="3" s="1"/>
  <c r="AS6" i="6"/>
  <c r="C84" i="7"/>
  <c r="AU5" i="6"/>
  <c r="D289" i="3" s="1"/>
  <c r="AQ5" i="6"/>
  <c r="AL6" i="6" a="1"/>
  <c r="AL6" i="6" s="1"/>
  <c r="AT335" i="3"/>
  <c r="AR335" i="3" s="1" a="1"/>
  <c r="AR335" i="3" s="1"/>
  <c r="AT338" i="3"/>
  <c r="AR338" i="3" s="1" a="1"/>
  <c r="AR338" i="3" s="1"/>
  <c r="AT337" i="3"/>
  <c r="AR337" i="3" s="1" a="1"/>
  <c r="AR337" i="3" s="1"/>
  <c r="AT334" i="3"/>
  <c r="AR334" i="3" s="1" a="1"/>
  <c r="AR334" i="3" s="1"/>
  <c r="AT342" i="3"/>
  <c r="AR342" i="3" s="1" a="1"/>
  <c r="AR342" i="3" s="1"/>
  <c r="AT341" i="3"/>
  <c r="AR341" i="3" s="1" a="1"/>
  <c r="AR341" i="3" s="1"/>
  <c r="AT344" i="3"/>
  <c r="AR344" i="3" s="1" a="1"/>
  <c r="AR344" i="3" s="1"/>
  <c r="AT340" i="3"/>
  <c r="AR340" i="3" s="1" a="1"/>
  <c r="AR340" i="3" s="1"/>
  <c r="AT336" i="3"/>
  <c r="AR336" i="3" s="1" a="1"/>
  <c r="AR336" i="3" s="1"/>
  <c r="AT343" i="3"/>
  <c r="AR343" i="3" s="1" a="1"/>
  <c r="AR343" i="3" s="1"/>
  <c r="AT345" i="3"/>
  <c r="AR345" i="3" s="1" a="1"/>
  <c r="AR345" i="3" s="1"/>
  <c r="AT339" i="3"/>
  <c r="AR339" i="3" s="1" a="1"/>
  <c r="AR339" i="3" s="1"/>
  <c r="AE7" i="6" a="1"/>
  <c r="AB7" i="6" a="1"/>
  <c r="V7" i="6" a="1"/>
  <c r="S7" i="6" a="1"/>
  <c r="AH7" i="6" a="1"/>
  <c r="AW6" i="6" a="1"/>
  <c r="BC6" i="6" a="1"/>
  <c r="BG300" i="3" l="1"/>
  <c r="O298" i="3" s="1"/>
  <c r="G200" i="3"/>
  <c r="G198" i="3" s="1"/>
  <c r="G12" i="3" s="1"/>
  <c r="O200" i="3"/>
  <c r="O198" i="3" s="1"/>
  <c r="O12" i="3" s="1"/>
  <c r="N200" i="3"/>
  <c r="N198" i="3" s="1"/>
  <c r="N12" i="3" s="1"/>
  <c r="J200" i="3"/>
  <c r="J198" i="3" s="1"/>
  <c r="J12" i="3" s="1"/>
  <c r="K200" i="3"/>
  <c r="K198" i="3" s="1"/>
  <c r="K12" i="3" s="1"/>
  <c r="F200" i="3"/>
  <c r="F198" i="3" s="1"/>
  <c r="F12" i="3" s="1"/>
  <c r="M200" i="3"/>
  <c r="M198" i="3" s="1"/>
  <c r="M12" i="3" s="1"/>
  <c r="P200" i="3"/>
  <c r="P198" i="3" s="1"/>
  <c r="P12" i="3" s="1"/>
  <c r="H200" i="3"/>
  <c r="H198" i="3" s="1"/>
  <c r="H12" i="3" s="1"/>
  <c r="I200" i="3"/>
  <c r="I198" i="3" s="1"/>
  <c r="I12" i="3" s="1"/>
  <c r="E200" i="3"/>
  <c r="E198" i="3" s="1"/>
  <c r="E12" i="3" s="1"/>
  <c r="AW300" i="3"/>
  <c r="E298" i="3" s="1"/>
  <c r="AY300" i="3"/>
  <c r="G298" i="3" s="1"/>
  <c r="AX300" i="3"/>
  <c r="F298" i="3" s="1"/>
  <c r="AA345" i="3"/>
  <c r="Y345" i="3" s="1" a="1"/>
  <c r="Y345" i="3" s="1"/>
  <c r="AA327" i="3" s="1"/>
  <c r="P300" i="3" s="1"/>
  <c r="AA337" i="3"/>
  <c r="Y337" i="3" s="1" a="1"/>
  <c r="Y337" i="3" s="1"/>
  <c r="S327" i="3" s="1"/>
  <c r="H300" i="3" s="1"/>
  <c r="AA334" i="3"/>
  <c r="Y334" i="3" s="1" a="1"/>
  <c r="Y334" i="3" s="1"/>
  <c r="P327" i="3" s="1"/>
  <c r="AA340" i="3"/>
  <c r="Y340" i="3" s="1" a="1"/>
  <c r="Y340" i="3" s="1"/>
  <c r="V327" i="3" s="1"/>
  <c r="S349" i="3" s="1"/>
  <c r="S351" i="3" s="1"/>
  <c r="K295" i="3" s="1"/>
  <c r="AA344" i="3"/>
  <c r="Y344" i="3" s="1" a="1"/>
  <c r="Y344" i="3" s="1"/>
  <c r="Z327" i="3" s="1"/>
  <c r="O300" i="3" s="1"/>
  <c r="AA336" i="3"/>
  <c r="Y336" i="3" s="1" a="1"/>
  <c r="Y336" i="3" s="1"/>
  <c r="R327" i="3" s="1"/>
  <c r="G300" i="3" s="1"/>
  <c r="AA338" i="3"/>
  <c r="Y338" i="3" s="1" a="1"/>
  <c r="Y338" i="3" s="1"/>
  <c r="T327" i="3" s="1"/>
  <c r="I300" i="3" s="1"/>
  <c r="AA343" i="3"/>
  <c r="Y343" i="3" s="1" a="1"/>
  <c r="Y343" i="3" s="1"/>
  <c r="Y327" i="3" s="1"/>
  <c r="V349" i="3" s="1"/>
  <c r="V351" i="3" s="1"/>
  <c r="N295" i="3" s="1"/>
  <c r="AA335" i="3"/>
  <c r="Y335" i="3" s="1" a="1"/>
  <c r="Y335" i="3" s="1"/>
  <c r="Q327" i="3" s="1"/>
  <c r="AA342" i="3"/>
  <c r="Y342" i="3" s="1" a="1"/>
  <c r="Y342" i="3" s="1"/>
  <c r="X327" i="3" s="1"/>
  <c r="M300" i="3" s="1"/>
  <c r="AA339" i="3"/>
  <c r="Y339" i="3" s="1" a="1"/>
  <c r="Y339" i="3" s="1"/>
  <c r="U327" i="3" s="1"/>
  <c r="J300" i="3" s="1"/>
  <c r="AA341" i="3"/>
  <c r="Y341" i="3" s="1" a="1"/>
  <c r="Y341" i="3" s="1"/>
  <c r="W327" i="3" s="1"/>
  <c r="T349" i="3" s="1"/>
  <c r="T351" i="3" s="1"/>
  <c r="L295" i="3" s="1"/>
  <c r="BF300" i="3"/>
  <c r="N298" i="3" s="1"/>
  <c r="BE300" i="3"/>
  <c r="M298" i="3" s="1"/>
  <c r="AZ300" i="3"/>
  <c r="H298" i="3" s="1"/>
  <c r="BD300" i="3"/>
  <c r="L298" i="3" s="1"/>
  <c r="BH300" i="3"/>
  <c r="P298" i="3" s="1"/>
  <c r="BB300" i="3"/>
  <c r="J298" i="3" s="1"/>
  <c r="BC300" i="3"/>
  <c r="K298" i="3" s="1"/>
  <c r="BA300" i="3"/>
  <c r="I298" i="3" s="1"/>
  <c r="AE7" i="6"/>
  <c r="AT7" i="6" s="1"/>
  <c r="AB7" i="6"/>
  <c r="I289" i="3"/>
  <c r="AH7" i="6"/>
  <c r="AI7" i="6" s="1"/>
  <c r="AL7" i="6" s="1" a="1"/>
  <c r="AL7" i="6" s="1"/>
  <c r="V7" i="6"/>
  <c r="I7" i="6" s="1"/>
  <c r="AN6" i="6"/>
  <c r="C123" i="7"/>
  <c r="AM6" i="6"/>
  <c r="BG6" i="6"/>
  <c r="I422" i="3" s="1"/>
  <c r="BC6" i="6"/>
  <c r="BD6" i="6" s="1"/>
  <c r="AW6" i="6"/>
  <c r="S7" i="6"/>
  <c r="O288" i="3" l="1"/>
  <c r="D198" i="3"/>
  <c r="D12" i="3" s="1"/>
  <c r="C8" i="9" s="1"/>
  <c r="G288" i="3"/>
  <c r="X349" i="3"/>
  <c r="X351" i="3" s="1"/>
  <c r="P295" i="3" s="1"/>
  <c r="P288" i="3"/>
  <c r="K300" i="3"/>
  <c r="K288" i="3" s="1"/>
  <c r="W349" i="3"/>
  <c r="W351" i="3" s="1"/>
  <c r="O295" i="3" s="1"/>
  <c r="P349" i="3"/>
  <c r="P351" i="3" s="1"/>
  <c r="H295" i="3" s="1"/>
  <c r="U349" i="3"/>
  <c r="U351" i="3" s="1"/>
  <c r="M295" i="3" s="1"/>
  <c r="R349" i="3"/>
  <c r="R351" i="3" s="1"/>
  <c r="J295" i="3" s="1"/>
  <c r="Q349" i="3"/>
  <c r="Q351" i="3" s="1"/>
  <c r="I295" i="3" s="1"/>
  <c r="N300" i="3"/>
  <c r="N288" i="3" s="1"/>
  <c r="L300" i="3"/>
  <c r="L288" i="3" s="1"/>
  <c r="E300" i="3"/>
  <c r="E288" i="3" s="1"/>
  <c r="M349" i="3"/>
  <c r="M351" i="3" s="1"/>
  <c r="E295" i="3" s="1"/>
  <c r="N349" i="3"/>
  <c r="N351" i="3" s="1"/>
  <c r="F295" i="3" s="1"/>
  <c r="F300" i="3"/>
  <c r="F288" i="3" s="1"/>
  <c r="O349" i="3"/>
  <c r="O351" i="3" s="1"/>
  <c r="G295" i="3" s="1"/>
  <c r="M288" i="3"/>
  <c r="H288" i="3"/>
  <c r="J288" i="3"/>
  <c r="I288" i="3"/>
  <c r="AX6" i="6"/>
  <c r="L394" i="3" s="1"/>
  <c r="AS7" i="6"/>
  <c r="AR7" i="6"/>
  <c r="P289" i="3"/>
  <c r="O289" i="3"/>
  <c r="C104" i="7"/>
  <c r="L289" i="3"/>
  <c r="J289" i="3"/>
  <c r="K289" i="3"/>
  <c r="N289" i="3"/>
  <c r="H289" i="3"/>
  <c r="G289" i="3"/>
  <c r="M289" i="3"/>
  <c r="E289" i="3"/>
  <c r="F289" i="3"/>
  <c r="AP6" i="6"/>
  <c r="AQ6" i="6"/>
  <c r="AN7" i="6"/>
  <c r="AP7" i="6" s="1"/>
  <c r="C143" i="7"/>
  <c r="AM7" i="6"/>
  <c r="D382" i="3" a="1"/>
  <c r="D382" i="3" s="1"/>
  <c r="D383" i="3"/>
  <c r="S423" i="3"/>
  <c r="AF422" i="3" s="1"/>
  <c r="AL422" i="3"/>
  <c r="AE8" i="6" a="1"/>
  <c r="AB8" i="6" a="1"/>
  <c r="V8" i="6" a="1"/>
  <c r="AH8" i="6" a="1"/>
  <c r="S8" i="6" a="1"/>
  <c r="P287" i="3" l="1"/>
  <c r="P13" i="3" s="1"/>
  <c r="H287" i="3"/>
  <c r="H13" i="3" s="1"/>
  <c r="N287" i="3"/>
  <c r="N13" i="3" s="1"/>
  <c r="O287" i="3"/>
  <c r="O13" i="3" s="1"/>
  <c r="E287" i="3"/>
  <c r="E13" i="3" s="1"/>
  <c r="I287" i="3"/>
  <c r="I13" i="3" s="1"/>
  <c r="F287" i="3"/>
  <c r="F13" i="3" s="1"/>
  <c r="G287" i="3"/>
  <c r="G13" i="3" s="1"/>
  <c r="L287" i="3"/>
  <c r="L13" i="3" s="1"/>
  <c r="M287" i="3"/>
  <c r="M13" i="3" s="1"/>
  <c r="K287" i="3"/>
  <c r="K13" i="3" s="1"/>
  <c r="J287" i="3"/>
  <c r="J13" i="3" s="1"/>
  <c r="M395" i="3"/>
  <c r="AQ395" i="3" s="1" a="1"/>
  <c r="AQ395" i="3" s="1"/>
  <c r="M396" i="3"/>
  <c r="I428" i="3" s="1"/>
  <c r="I429" i="3" s="1"/>
  <c r="AL426" i="3" s="1"/>
  <c r="AX432" i="3" s="1"/>
  <c r="AE8" i="6"/>
  <c r="AT8" i="6" s="1"/>
  <c r="AB8" i="6"/>
  <c r="AS8" i="6" s="1"/>
  <c r="V8" i="6"/>
  <c r="I8" i="6" s="1"/>
  <c r="AQ7" i="6"/>
  <c r="AU7" i="6" s="1"/>
  <c r="D467" i="3" s="1"/>
  <c r="AU6" i="6"/>
  <c r="D378" i="3" s="1"/>
  <c r="AH8" i="6"/>
  <c r="AI8" i="6" s="1"/>
  <c r="AL8" i="6" s="1" a="1"/>
  <c r="AL8" i="6" s="1"/>
  <c r="J382" i="3"/>
  <c r="F382" i="3"/>
  <c r="K382" i="3"/>
  <c r="L382" i="3"/>
  <c r="N382" i="3"/>
  <c r="E382" i="3"/>
  <c r="H382" i="3"/>
  <c r="G382" i="3"/>
  <c r="M382" i="3"/>
  <c r="I382" i="3"/>
  <c r="P382" i="3"/>
  <c r="O382" i="3"/>
  <c r="S8" i="6"/>
  <c r="AR8" i="6" s="1"/>
  <c r="D287" i="3" l="1"/>
  <c r="D13" i="3" s="1"/>
  <c r="C9" i="9" s="1"/>
  <c r="AT394" i="3" a="1"/>
  <c r="AT394" i="3" s="1"/>
  <c r="AB398" i="3" a="1"/>
  <c r="AB398" i="3" s="1"/>
  <c r="AF397" i="3" a="1"/>
  <c r="AF397" i="3" s="1"/>
  <c r="AK396" i="3" a="1"/>
  <c r="AK396" i="3" s="1"/>
  <c r="AN398" i="3" a="1"/>
  <c r="AN398" i="3" s="1"/>
  <c r="AM397" i="3" a="1"/>
  <c r="AM397" i="3" s="1"/>
  <c r="W397" i="3" a="1"/>
  <c r="W397" i="3" s="1"/>
  <c r="AK397" i="3" a="1"/>
  <c r="AK397" i="3" s="1"/>
  <c r="AE398" i="3" a="1"/>
  <c r="AE398" i="3" s="1"/>
  <c r="AQ396" i="3" a="1"/>
  <c r="AQ396" i="3" s="1"/>
  <c r="X398" i="3" a="1"/>
  <c r="X398" i="3" s="1"/>
  <c r="X395" i="3" a="1"/>
  <c r="X395" i="3" s="1"/>
  <c r="AX395" i="3" s="1"/>
  <c r="AD394" i="3" a="1"/>
  <c r="AD394" i="3" s="1"/>
  <c r="BD394" i="3" s="1"/>
  <c r="BD389" i="3" s="1"/>
  <c r="L387" i="3" s="1"/>
  <c r="Y397" i="3" a="1"/>
  <c r="Y397" i="3" s="1"/>
  <c r="AR399" i="3" a="1"/>
  <c r="AR399" i="3" s="1"/>
  <c r="AA398" i="3" a="1"/>
  <c r="AA398" i="3" s="1"/>
  <c r="Y396" i="3" a="1"/>
  <c r="Y396" i="3" s="1"/>
  <c r="AO397" i="3" a="1"/>
  <c r="AO397" i="3" s="1"/>
  <c r="AA397" i="3" a="1"/>
  <c r="AA397" i="3" s="1"/>
  <c r="AH398" i="3" a="1"/>
  <c r="AH398" i="3" s="1"/>
  <c r="Y394" i="3" a="1"/>
  <c r="Y394" i="3" s="1"/>
  <c r="AY394" i="3" s="1"/>
  <c r="AY389" i="3" s="1"/>
  <c r="G387" i="3" s="1"/>
  <c r="AM399" i="3" a="1"/>
  <c r="AM399" i="3" s="1"/>
  <c r="W394" i="3" a="1"/>
  <c r="W394" i="3" s="1"/>
  <c r="AW394" i="3" s="1"/>
  <c r="AW389" i="3" s="1"/>
  <c r="E387" i="3" s="1"/>
  <c r="AC400" i="3" a="1"/>
  <c r="AC400" i="3" s="1"/>
  <c r="AR398" i="3" a="1"/>
  <c r="AR398" i="3" s="1"/>
  <c r="AA396" i="3" a="1"/>
  <c r="AA396" i="3" s="1"/>
  <c r="X400" i="3" a="1"/>
  <c r="X400" i="3" s="1"/>
  <c r="AE400" i="3" a="1"/>
  <c r="AE400" i="3" s="1"/>
  <c r="AP399" i="3" a="1"/>
  <c r="AP399" i="3" s="1"/>
  <c r="AG394" i="3" a="1"/>
  <c r="AG394" i="3" s="1"/>
  <c r="BG394" i="3" s="1"/>
  <c r="BG389" i="3" s="1"/>
  <c r="O387" i="3" s="1"/>
  <c r="W398" i="3" a="1"/>
  <c r="W398" i="3" s="1"/>
  <c r="AD400" i="3" a="1"/>
  <c r="AD400" i="3" s="1"/>
  <c r="AN397" i="3" a="1"/>
  <c r="AN397" i="3" s="1"/>
  <c r="AF399" i="3" a="1"/>
  <c r="AF399" i="3" s="1"/>
  <c r="AS397" i="3" a="1"/>
  <c r="AS397" i="3" s="1"/>
  <c r="AA394" i="3" a="1"/>
  <c r="AA394" i="3" s="1"/>
  <c r="BA394" i="3" s="1"/>
  <c r="BA389" i="3" s="1"/>
  <c r="I387" i="3" s="1"/>
  <c r="AL395" i="3" a="1"/>
  <c r="AL395" i="3" s="1"/>
  <c r="AU398" i="3" a="1"/>
  <c r="AU398" i="3" s="1"/>
  <c r="AJ399" i="3" a="1"/>
  <c r="AJ399" i="3" s="1"/>
  <c r="AA395" i="3" a="1"/>
  <c r="AA395" i="3" s="1"/>
  <c r="BA395" i="3" s="1"/>
  <c r="AE399" i="3" a="1"/>
  <c r="AE399" i="3" s="1"/>
  <c r="AJ396" i="3" a="1"/>
  <c r="AJ396" i="3" s="1"/>
  <c r="W396" i="3" a="1"/>
  <c r="W396" i="3" s="1"/>
  <c r="AU394" i="3" a="1"/>
  <c r="AU394" i="3" s="1"/>
  <c r="AH397" i="3" a="1"/>
  <c r="AH397" i="3" s="1"/>
  <c r="Z396" i="3" a="1"/>
  <c r="Z396" i="3" s="1"/>
  <c r="AS398" i="3" a="1"/>
  <c r="AS398" i="3" s="1"/>
  <c r="AA399" i="3" a="1"/>
  <c r="AA399" i="3" s="1"/>
  <c r="W399" i="3" a="1"/>
  <c r="W399" i="3" s="1"/>
  <c r="AF400" i="3" a="1"/>
  <c r="AF400" i="3" s="1"/>
  <c r="AU395" i="3" a="1"/>
  <c r="AU395" i="3" s="1"/>
  <c r="AU399" i="3" a="1"/>
  <c r="AU399" i="3" s="1"/>
  <c r="AO395" i="3" a="1"/>
  <c r="AO395" i="3" s="1"/>
  <c r="AT396" i="3" a="1"/>
  <c r="AT396" i="3" s="1"/>
  <c r="W395" i="3" a="1"/>
  <c r="W395" i="3" s="1"/>
  <c r="AW395" i="3" s="1"/>
  <c r="AR397" i="3" a="1"/>
  <c r="AR397" i="3" s="1"/>
  <c r="AL394" i="3" a="1"/>
  <c r="AL394" i="3" s="1"/>
  <c r="AL398" i="3" a="1"/>
  <c r="AL398" i="3" s="1"/>
  <c r="AB400" i="3" a="1"/>
  <c r="AB400" i="3" s="1"/>
  <c r="AK398" i="3" a="1"/>
  <c r="AK398" i="3" s="1"/>
  <c r="Z395" i="3" a="1"/>
  <c r="Z395" i="3" s="1"/>
  <c r="AZ395" i="3" s="1"/>
  <c r="AH394" i="3" a="1"/>
  <c r="AH394" i="3" s="1"/>
  <c r="BH394" i="3" s="1"/>
  <c r="BH389" i="3" s="1"/>
  <c r="P387" i="3" s="1"/>
  <c r="AT398" i="3" a="1"/>
  <c r="AT398" i="3" s="1"/>
  <c r="AQ399" i="3" a="1"/>
  <c r="AQ399" i="3" s="1"/>
  <c r="AH395" i="3" a="1"/>
  <c r="AH395" i="3" s="1"/>
  <c r="BH395" i="3" s="1"/>
  <c r="AG398" i="3" a="1"/>
  <c r="AG398" i="3" s="1"/>
  <c r="Y399" i="3" a="1"/>
  <c r="Y399" i="3" s="1"/>
  <c r="Z397" i="3" a="1"/>
  <c r="Z397" i="3" s="1"/>
  <c r="AB395" i="3" a="1"/>
  <c r="AB395" i="3" s="1"/>
  <c r="BB395" i="3" s="1"/>
  <c r="AG395" i="3" a="1"/>
  <c r="AG395" i="3" s="1"/>
  <c r="BG395" i="3" s="1"/>
  <c r="AO399" i="3" a="1"/>
  <c r="AO399" i="3" s="1"/>
  <c r="AT399" i="3" a="1"/>
  <c r="AT399" i="3" s="1"/>
  <c r="AQ397" i="3" a="1"/>
  <c r="AQ397" i="3" s="1"/>
  <c r="AF394" i="3" a="1"/>
  <c r="AF394" i="3" s="1"/>
  <c r="BF394" i="3" s="1"/>
  <c r="BF389" i="3" s="1"/>
  <c r="N387" i="3" s="1"/>
  <c r="AU397" i="3" a="1"/>
  <c r="AU397" i="3" s="1"/>
  <c r="AF398" i="3" a="1"/>
  <c r="AF398" i="3" s="1"/>
  <c r="Z398" i="3" a="1"/>
  <c r="Z398" i="3" s="1"/>
  <c r="AC397" i="3" a="1"/>
  <c r="AC397" i="3" s="1"/>
  <c r="AD398" i="3" a="1"/>
  <c r="AD398" i="3" s="1"/>
  <c r="AB399" i="3" a="1"/>
  <c r="AB399" i="3" s="1"/>
  <c r="X397" i="3" a="1"/>
  <c r="X397" i="3" s="1"/>
  <c r="AP394" i="3" a="1"/>
  <c r="AP394" i="3" s="1"/>
  <c r="AA400" i="3" a="1"/>
  <c r="AA400" i="3" s="1"/>
  <c r="AL396" i="3" a="1"/>
  <c r="AL396" i="3" s="1"/>
  <c r="X399" i="3" a="1"/>
  <c r="X399" i="3" s="1"/>
  <c r="AP398" i="3" a="1"/>
  <c r="AP398" i="3" s="1"/>
  <c r="AO398" i="3" a="1"/>
  <c r="AO398" i="3" s="1"/>
  <c r="AS394" i="3" a="1"/>
  <c r="AS394" i="3" s="1"/>
  <c r="AC396" i="3" a="1"/>
  <c r="AC396" i="3" s="1"/>
  <c r="AM396" i="3" a="1"/>
  <c r="AM396" i="3" s="1"/>
  <c r="AO394" i="3" a="1"/>
  <c r="AO394" i="3" s="1"/>
  <c r="AC395" i="3" a="1"/>
  <c r="AC395" i="3" s="1"/>
  <c r="BC395" i="3" s="1"/>
  <c r="AN395" i="3" a="1"/>
  <c r="AN395" i="3" s="1"/>
  <c r="AL397" i="3" a="1"/>
  <c r="AL397" i="3" s="1"/>
  <c r="AD396" i="3" a="1"/>
  <c r="AD396" i="3" s="1"/>
  <c r="AU396" i="3" a="1"/>
  <c r="AU396" i="3" s="1"/>
  <c r="AB396" i="3" a="1"/>
  <c r="AB396" i="3" s="1"/>
  <c r="AB397" i="3" a="1"/>
  <c r="AB397" i="3" s="1"/>
  <c r="AS395" i="3" a="1"/>
  <c r="AS395" i="3" s="1"/>
  <c r="AE397" i="3" a="1"/>
  <c r="AE397" i="3" s="1"/>
  <c r="AC394" i="3" a="1"/>
  <c r="AC394" i="3" s="1"/>
  <c r="BC394" i="3" s="1"/>
  <c r="BC389" i="3" s="1"/>
  <c r="K387" i="3" s="1"/>
  <c r="AK394" i="3" a="1"/>
  <c r="AK394" i="3" s="1"/>
  <c r="AP395" i="3" a="1"/>
  <c r="AP395" i="3" s="1"/>
  <c r="AG396" i="3" a="1"/>
  <c r="AG396" i="3" s="1"/>
  <c r="X396" i="3" a="1"/>
  <c r="X396" i="3" s="1"/>
  <c r="AP397" i="3" a="1"/>
  <c r="AP397" i="3" s="1"/>
  <c r="AN396" i="3" a="1"/>
  <c r="AN396" i="3" s="1"/>
  <c r="Z400" i="3" a="1"/>
  <c r="Z400" i="3" s="1"/>
  <c r="AG397" i="3" a="1"/>
  <c r="AG397" i="3" s="1"/>
  <c r="Z394" i="3" a="1"/>
  <c r="Z394" i="3" s="1"/>
  <c r="AZ394" i="3" s="1"/>
  <c r="AZ389" i="3" s="1"/>
  <c r="H387" i="3" s="1"/>
  <c r="AT395" i="3" a="1"/>
  <c r="AT395" i="3" s="1"/>
  <c r="AD397" i="3" a="1"/>
  <c r="AD397" i="3" s="1"/>
  <c r="X394" i="3" a="1"/>
  <c r="X394" i="3" s="1"/>
  <c r="AX394" i="3" s="1"/>
  <c r="AX389" i="3" s="1"/>
  <c r="F387" i="3" s="1"/>
  <c r="AE394" i="3" a="1"/>
  <c r="AE394" i="3" s="1"/>
  <c r="BE394" i="3" s="1"/>
  <c r="BE389" i="3" s="1"/>
  <c r="M387" i="3" s="1"/>
  <c r="AM394" i="3" a="1"/>
  <c r="AM394" i="3" s="1"/>
  <c r="Z399" i="3" a="1"/>
  <c r="Z399" i="3" s="1"/>
  <c r="AG399" i="3" a="1"/>
  <c r="AG399" i="3" s="1"/>
  <c r="AJ395" i="3" a="1"/>
  <c r="AJ395" i="3" s="1"/>
  <c r="AH399" i="3" a="1"/>
  <c r="AH399" i="3" s="1"/>
  <c r="AH400" i="3" a="1"/>
  <c r="AH400" i="3" s="1"/>
  <c r="AR396" i="3" a="1"/>
  <c r="AR396" i="3" s="1"/>
  <c r="AC398" i="3" a="1"/>
  <c r="AC398" i="3" s="1"/>
  <c r="AK399" i="3" a="1"/>
  <c r="AK399" i="3" s="1"/>
  <c r="AB394" i="3" a="1"/>
  <c r="AB394" i="3" s="1"/>
  <c r="BB394" i="3" s="1"/>
  <c r="BB389" i="3" s="1"/>
  <c r="J387" i="3" s="1"/>
  <c r="AM398" i="3" a="1"/>
  <c r="AM398" i="3" s="1"/>
  <c r="AJ397" i="3" a="1"/>
  <c r="AJ397" i="3" s="1"/>
  <c r="Y395" i="3" a="1"/>
  <c r="Y395" i="3" s="1"/>
  <c r="AY395" i="3" s="1"/>
  <c r="W400" i="3" a="1"/>
  <c r="W400" i="3" s="1"/>
  <c r="AN394" i="3" a="1"/>
  <c r="AN394" i="3" s="1"/>
  <c r="AQ398" i="3" a="1"/>
  <c r="AQ398" i="3" s="1"/>
  <c r="AD399" i="3" a="1"/>
  <c r="AD399" i="3" s="1"/>
  <c r="AN399" i="3" a="1"/>
  <c r="AN399" i="3" s="1"/>
  <c r="AS396" i="3" a="1"/>
  <c r="AS396" i="3" s="1"/>
  <c r="AT397" i="3" a="1"/>
  <c r="AT397" i="3" s="1"/>
  <c r="AK395" i="3" a="1"/>
  <c r="AK395" i="3" s="1"/>
  <c r="AR395" i="3" a="1"/>
  <c r="AR395" i="3" s="1"/>
  <c r="AE396" i="3" a="1"/>
  <c r="AE396" i="3" s="1"/>
  <c r="AG400" i="3" a="1"/>
  <c r="AG400" i="3" s="1"/>
  <c r="AH396" i="3" a="1"/>
  <c r="AH396" i="3" s="1"/>
  <c r="AF396" i="3" a="1"/>
  <c r="AF396" i="3" s="1"/>
  <c r="AP396" i="3" a="1"/>
  <c r="AP396" i="3" s="1"/>
  <c r="AO396" i="3" a="1"/>
  <c r="AO396" i="3" s="1"/>
  <c r="AS399" i="3" a="1"/>
  <c r="AS399" i="3" s="1"/>
  <c r="AM395" i="3" a="1"/>
  <c r="AM395" i="3" s="1"/>
  <c r="Y400" i="3" a="1"/>
  <c r="Y400" i="3" s="1"/>
  <c r="AC399" i="3" a="1"/>
  <c r="AC399" i="3" s="1"/>
  <c r="AQ394" i="3" a="1"/>
  <c r="AQ394" i="3" s="1"/>
  <c r="AD395" i="3" a="1"/>
  <c r="AD395" i="3" s="1"/>
  <c r="BD395" i="3" s="1"/>
  <c r="AF395" i="3" a="1"/>
  <c r="AF395" i="3" s="1"/>
  <c r="BF395" i="3" s="1"/>
  <c r="Y398" i="3" a="1"/>
  <c r="Y398" i="3" s="1"/>
  <c r="AJ394" i="3" a="1"/>
  <c r="AJ394" i="3" s="1"/>
  <c r="AJ398" i="3" a="1"/>
  <c r="AJ398" i="3" s="1"/>
  <c r="AR394" i="3" a="1"/>
  <c r="AR394" i="3" s="1"/>
  <c r="AL399" i="3" a="1"/>
  <c r="AL399" i="3" s="1"/>
  <c r="AE395" i="3" a="1"/>
  <c r="AE395" i="3" s="1"/>
  <c r="BE395" i="3" s="1"/>
  <c r="S425" i="3"/>
  <c r="AF421" i="3" s="1"/>
  <c r="C124" i="7"/>
  <c r="AN8" i="6"/>
  <c r="AP8" i="6" s="1"/>
  <c r="C163" i="7"/>
  <c r="AM8" i="6"/>
  <c r="AT434" i="3"/>
  <c r="AR434" i="3" s="1" a="1"/>
  <c r="AR434" i="3" s="1"/>
  <c r="AT423" i="3"/>
  <c r="AR423" i="3" s="1" a="1"/>
  <c r="AR423" i="3" s="1"/>
  <c r="AT428" i="3"/>
  <c r="AR428" i="3" s="1" a="1"/>
  <c r="AR428" i="3" s="1"/>
  <c r="AT431" i="3"/>
  <c r="AR431" i="3" s="1" a="1"/>
  <c r="AR431" i="3" s="1"/>
  <c r="AT427" i="3"/>
  <c r="AR427" i="3" s="1" a="1"/>
  <c r="AR427" i="3" s="1"/>
  <c r="AT424" i="3"/>
  <c r="AR424" i="3" s="1" a="1"/>
  <c r="AR424" i="3" s="1"/>
  <c r="AT425" i="3"/>
  <c r="AR425" i="3" s="1" a="1"/>
  <c r="AR425" i="3" s="1"/>
  <c r="AT432" i="3"/>
  <c r="AR432" i="3" s="1" a="1"/>
  <c r="AR432" i="3" s="1"/>
  <c r="AT433" i="3"/>
  <c r="AR433" i="3" s="1" a="1"/>
  <c r="AR433" i="3" s="1"/>
  <c r="AT429" i="3"/>
  <c r="AR429" i="3" s="1" a="1"/>
  <c r="AR429" i="3" s="1"/>
  <c r="AT426" i="3"/>
  <c r="AR426" i="3" s="1" a="1"/>
  <c r="AR426" i="3" s="1"/>
  <c r="AT430" i="3"/>
  <c r="AR430" i="3" s="1" a="1"/>
  <c r="AR430" i="3" s="1"/>
  <c r="C144" i="7"/>
  <c r="BC7" i="6" a="1"/>
  <c r="AW7" i="6" a="1"/>
  <c r="BF7" i="6" a="1"/>
  <c r="AA434" i="3" l="1"/>
  <c r="Y434" i="3" s="1" a="1"/>
  <c r="Y434" i="3" s="1"/>
  <c r="AA416" i="3" s="1"/>
  <c r="X438" i="3" s="1"/>
  <c r="X440" i="3" s="1"/>
  <c r="P384" i="3" s="1"/>
  <c r="AA426" i="3"/>
  <c r="Y426" i="3" s="1" a="1"/>
  <c r="Y426" i="3" s="1"/>
  <c r="S416" i="3" s="1"/>
  <c r="H389" i="3" s="1"/>
  <c r="H377" i="3" s="1"/>
  <c r="AA429" i="3"/>
  <c r="Y429" i="3" s="1" a="1"/>
  <c r="Y429" i="3" s="1"/>
  <c r="V416" i="3" s="1"/>
  <c r="K389" i="3" s="1"/>
  <c r="K377" i="3" s="1"/>
  <c r="AA433" i="3"/>
  <c r="Y433" i="3" s="1" a="1"/>
  <c r="Y433" i="3" s="1"/>
  <c r="Z416" i="3" s="1"/>
  <c r="O389" i="3" s="1"/>
  <c r="O377" i="3" s="1"/>
  <c r="AA425" i="3"/>
  <c r="Y425" i="3" s="1" a="1"/>
  <c r="Y425" i="3" s="1"/>
  <c r="R416" i="3" s="1"/>
  <c r="G389" i="3" s="1"/>
  <c r="G377" i="3" s="1"/>
  <c r="AA428" i="3"/>
  <c r="Y428" i="3" s="1" a="1"/>
  <c r="Y428" i="3" s="1"/>
  <c r="U416" i="3" s="1"/>
  <c r="J389" i="3" s="1"/>
  <c r="J377" i="3" s="1"/>
  <c r="AA432" i="3"/>
  <c r="Y432" i="3" s="1" a="1"/>
  <c r="Y432" i="3" s="1"/>
  <c r="Y416" i="3" s="1"/>
  <c r="N389" i="3" s="1"/>
  <c r="N377" i="3" s="1"/>
  <c r="AA424" i="3"/>
  <c r="Y424" i="3" s="1" a="1"/>
  <c r="Y424" i="3" s="1"/>
  <c r="Q416" i="3" s="1"/>
  <c r="AA427" i="3"/>
  <c r="Y427" i="3" s="1" a="1"/>
  <c r="Y427" i="3" s="1"/>
  <c r="T416" i="3" s="1"/>
  <c r="Q438" i="3" s="1"/>
  <c r="Q440" i="3" s="1"/>
  <c r="I384" i="3" s="1"/>
  <c r="AA431" i="3"/>
  <c r="Y431" i="3" s="1" a="1"/>
  <c r="Y431" i="3" s="1"/>
  <c r="X416" i="3" s="1"/>
  <c r="M389" i="3" s="1"/>
  <c r="M377" i="3" s="1"/>
  <c r="AA423" i="3"/>
  <c r="Y423" i="3" s="1" a="1"/>
  <c r="Y423" i="3" s="1"/>
  <c r="P416" i="3" s="1"/>
  <c r="AA430" i="3"/>
  <c r="Y430" i="3" s="1" a="1"/>
  <c r="Y430" i="3" s="1"/>
  <c r="W416" i="3" s="1"/>
  <c r="L389" i="3" s="1"/>
  <c r="L377" i="3" s="1"/>
  <c r="AQ8" i="6"/>
  <c r="AU8" i="6" s="1"/>
  <c r="D555" i="3" s="1"/>
  <c r="E378" i="3"/>
  <c r="N378" i="3"/>
  <c r="G378" i="3"/>
  <c r="F378" i="3"/>
  <c r="O378" i="3"/>
  <c r="L378" i="3"/>
  <c r="H378" i="3"/>
  <c r="I378" i="3"/>
  <c r="P378" i="3"/>
  <c r="K378" i="3"/>
  <c r="M378" i="3"/>
  <c r="J378" i="3"/>
  <c r="BF7" i="6"/>
  <c r="BG7" i="6" s="1"/>
  <c r="I511" i="3" s="1"/>
  <c r="BC7" i="6"/>
  <c r="BD7" i="6" s="1"/>
  <c r="AW7" i="6"/>
  <c r="J467" i="3"/>
  <c r="M467" i="3"/>
  <c r="P467" i="3"/>
  <c r="L467" i="3"/>
  <c r="H467" i="3"/>
  <c r="I467" i="3"/>
  <c r="E467" i="3"/>
  <c r="K467" i="3"/>
  <c r="O467" i="3"/>
  <c r="G467" i="3"/>
  <c r="F467" i="3"/>
  <c r="N467" i="3"/>
  <c r="P389" i="3" l="1"/>
  <c r="P377" i="3" s="1"/>
  <c r="P376" i="3" s="1"/>
  <c r="P14" i="3" s="1"/>
  <c r="I389" i="3"/>
  <c r="I377" i="3" s="1"/>
  <c r="I376" i="3" s="1"/>
  <c r="I14" i="3" s="1"/>
  <c r="P438" i="3"/>
  <c r="P440" i="3" s="1"/>
  <c r="H384" i="3" s="1"/>
  <c r="H376" i="3" s="1"/>
  <c r="H14" i="3" s="1"/>
  <c r="O438" i="3"/>
  <c r="O440" i="3" s="1"/>
  <c r="G384" i="3" s="1"/>
  <c r="G376" i="3" s="1"/>
  <c r="G14" i="3" s="1"/>
  <c r="S438" i="3"/>
  <c r="S440" i="3" s="1"/>
  <c r="K384" i="3" s="1"/>
  <c r="K376" i="3" s="1"/>
  <c r="K14" i="3" s="1"/>
  <c r="T438" i="3"/>
  <c r="T440" i="3" s="1"/>
  <c r="L384" i="3" s="1"/>
  <c r="L376" i="3" s="1"/>
  <c r="L14" i="3" s="1"/>
  <c r="V438" i="3"/>
  <c r="V440" i="3" s="1"/>
  <c r="N384" i="3" s="1"/>
  <c r="N376" i="3" s="1"/>
  <c r="N14" i="3" s="1"/>
  <c r="U438" i="3"/>
  <c r="U440" i="3" s="1"/>
  <c r="M384" i="3" s="1"/>
  <c r="M376" i="3" s="1"/>
  <c r="M14" i="3" s="1"/>
  <c r="W438" i="3"/>
  <c r="W440" i="3" s="1"/>
  <c r="O384" i="3" s="1"/>
  <c r="O376" i="3" s="1"/>
  <c r="O14" i="3" s="1"/>
  <c r="N438" i="3"/>
  <c r="N440" i="3" s="1"/>
  <c r="F384" i="3" s="1"/>
  <c r="F389" i="3"/>
  <c r="F377" i="3" s="1"/>
  <c r="E389" i="3"/>
  <c r="E377" i="3" s="1"/>
  <c r="M438" i="3"/>
  <c r="M440" i="3" s="1"/>
  <c r="E384" i="3" s="1"/>
  <c r="R438" i="3"/>
  <c r="R440" i="3" s="1"/>
  <c r="J384" i="3" s="1"/>
  <c r="J376" i="3" s="1"/>
  <c r="J14" i="3" s="1"/>
  <c r="AX7" i="6"/>
  <c r="L483" i="3" s="1"/>
  <c r="D471" i="3" a="1"/>
  <c r="D471" i="3" s="1"/>
  <c r="D472" i="3"/>
  <c r="S512" i="3"/>
  <c r="AF511" i="3" s="1"/>
  <c r="AL511" i="3"/>
  <c r="C164" i="7"/>
  <c r="AW8" i="6" a="1"/>
  <c r="BC8" i="6" a="1"/>
  <c r="BF8" i="6" a="1"/>
  <c r="F376" i="3" l="1"/>
  <c r="F14" i="3" s="1"/>
  <c r="E376" i="3"/>
  <c r="E14" i="3" s="1"/>
  <c r="M485" i="3"/>
  <c r="I517" i="3" s="1"/>
  <c r="I518" i="3" s="1"/>
  <c r="S514" i="3" s="1"/>
  <c r="AF510" i="3" s="1"/>
  <c r="M484" i="3"/>
  <c r="AK483" i="3" s="1" a="1"/>
  <c r="AK483" i="3" s="1"/>
  <c r="I471" i="3"/>
  <c r="M471" i="3"/>
  <c r="K471" i="3"/>
  <c r="G471" i="3"/>
  <c r="F471" i="3"/>
  <c r="H471" i="3"/>
  <c r="E471" i="3"/>
  <c r="O471" i="3"/>
  <c r="N471" i="3"/>
  <c r="P471" i="3"/>
  <c r="L471" i="3"/>
  <c r="J471" i="3"/>
  <c r="BF8" i="6"/>
  <c r="BG8" i="6" s="1"/>
  <c r="I599" i="3" s="1"/>
  <c r="BC8" i="6"/>
  <c r="BD8" i="6" s="1"/>
  <c r="AW8" i="6"/>
  <c r="N555" i="3"/>
  <c r="I555" i="3"/>
  <c r="E555" i="3"/>
  <c r="K555" i="3"/>
  <c r="H555" i="3"/>
  <c r="O555" i="3"/>
  <c r="F555" i="3"/>
  <c r="L555" i="3"/>
  <c r="M555" i="3"/>
  <c r="G555" i="3"/>
  <c r="P555" i="3"/>
  <c r="J555" i="3"/>
  <c r="D376" i="3" l="1"/>
  <c r="D14" i="3" s="1"/>
  <c r="AA523" i="3"/>
  <c r="Y523" i="3" s="1" a="1"/>
  <c r="Y523" i="3" s="1"/>
  <c r="AA515" i="3"/>
  <c r="Y515" i="3" s="1" a="1"/>
  <c r="Y515" i="3" s="1"/>
  <c r="AA522" i="3"/>
  <c r="Y522" i="3" s="1" a="1"/>
  <c r="Y522" i="3" s="1"/>
  <c r="AA514" i="3"/>
  <c r="Y514" i="3" s="1" a="1"/>
  <c r="Y514" i="3" s="1"/>
  <c r="AA521" i="3"/>
  <c r="Y521" i="3" s="1" a="1"/>
  <c r="Y521" i="3" s="1"/>
  <c r="AA513" i="3"/>
  <c r="Y513" i="3" s="1" a="1"/>
  <c r="Y513" i="3" s="1"/>
  <c r="AA512" i="3"/>
  <c r="Y512" i="3" s="1" a="1"/>
  <c r="Y512" i="3" s="1"/>
  <c r="AA516" i="3"/>
  <c r="Y516" i="3" s="1" a="1"/>
  <c r="Y516" i="3" s="1"/>
  <c r="AA520" i="3"/>
  <c r="Y520" i="3" s="1" a="1"/>
  <c r="Y520" i="3" s="1"/>
  <c r="AA519" i="3"/>
  <c r="Y519" i="3" s="1" a="1"/>
  <c r="Y519" i="3" s="1"/>
  <c r="AA518" i="3"/>
  <c r="Y518" i="3" s="1" a="1"/>
  <c r="Y518" i="3" s="1"/>
  <c r="AA517" i="3"/>
  <c r="Y517" i="3" s="1" a="1"/>
  <c r="Y517" i="3" s="1"/>
  <c r="AS484" i="3" a="1"/>
  <c r="AS484" i="3" s="1"/>
  <c r="AK488" i="3" a="1"/>
  <c r="AK488" i="3" s="1"/>
  <c r="AO486" i="3" a="1"/>
  <c r="AO486" i="3" s="1"/>
  <c r="AC483" i="3" a="1"/>
  <c r="AC483" i="3" s="1"/>
  <c r="BC483" i="3" s="1"/>
  <c r="BC478" i="3" s="1"/>
  <c r="K476" i="3" s="1"/>
  <c r="AP488" i="3" a="1"/>
  <c r="AP488" i="3" s="1"/>
  <c r="AE486" i="3" a="1"/>
  <c r="AE486" i="3" s="1"/>
  <c r="Y489" i="3" a="1"/>
  <c r="Y489" i="3" s="1"/>
  <c r="W486" i="3" a="1"/>
  <c r="W486" i="3" s="1"/>
  <c r="AD486" i="3" a="1"/>
  <c r="AD486" i="3" s="1"/>
  <c r="AP484" i="3" a="1"/>
  <c r="AP484" i="3" s="1"/>
  <c r="AR486" i="3" a="1"/>
  <c r="AR486" i="3" s="1"/>
  <c r="AH488" i="3" a="1"/>
  <c r="AH488" i="3" s="1"/>
  <c r="AK485" i="3" a="1"/>
  <c r="AK485" i="3" s="1"/>
  <c r="AM487" i="3" a="1"/>
  <c r="AM487" i="3" s="1"/>
  <c r="AH486" i="3" a="1"/>
  <c r="AH486" i="3" s="1"/>
  <c r="AJ486" i="3" a="1"/>
  <c r="AJ486" i="3" s="1"/>
  <c r="X489" i="3" a="1"/>
  <c r="X489" i="3" s="1"/>
  <c r="W485" i="3" a="1"/>
  <c r="W485" i="3" s="1"/>
  <c r="W484" i="3" a="1"/>
  <c r="W484" i="3" s="1"/>
  <c r="AW484" i="3" s="1"/>
  <c r="AB483" i="3" a="1"/>
  <c r="AB483" i="3" s="1"/>
  <c r="BB483" i="3" s="1"/>
  <c r="AA486" i="3" a="1"/>
  <c r="AA486" i="3" s="1"/>
  <c r="Z483" i="3" a="1"/>
  <c r="Z483" i="3" s="1"/>
  <c r="AZ483" i="3" s="1"/>
  <c r="AF486" i="3" a="1"/>
  <c r="AF486" i="3" s="1"/>
  <c r="X487" i="3" a="1"/>
  <c r="X487" i="3" s="1"/>
  <c r="AU488" i="3" a="1"/>
  <c r="AU488" i="3" s="1"/>
  <c r="AM486" i="3" a="1"/>
  <c r="AM486" i="3" s="1"/>
  <c r="AF487" i="3" a="1"/>
  <c r="AF487" i="3" s="1"/>
  <c r="AC484" i="3" a="1"/>
  <c r="AC484" i="3" s="1"/>
  <c r="BC484" i="3" s="1"/>
  <c r="AE483" i="3" a="1"/>
  <c r="AE483" i="3" s="1"/>
  <c r="BE483" i="3" s="1"/>
  <c r="AA488" i="3" a="1"/>
  <c r="AA488" i="3" s="1"/>
  <c r="AC486" i="3" a="1"/>
  <c r="AC486" i="3" s="1"/>
  <c r="W487" i="3" a="1"/>
  <c r="W487" i="3" s="1"/>
  <c r="AQ484" i="3" a="1"/>
  <c r="AQ484" i="3" s="1"/>
  <c r="AG486" i="3" a="1"/>
  <c r="AG486" i="3" s="1"/>
  <c r="W489" i="3" a="1"/>
  <c r="W489" i="3" s="1"/>
  <c r="AG487" i="3" a="1"/>
  <c r="AG487" i="3" s="1"/>
  <c r="Z489" i="3" a="1"/>
  <c r="Z489" i="3" s="1"/>
  <c r="AD483" i="3" a="1"/>
  <c r="AD483" i="3" s="1"/>
  <c r="BD483" i="3" s="1"/>
  <c r="AN483" i="3" a="1"/>
  <c r="AN483" i="3" s="1"/>
  <c r="AN486" i="3" a="1"/>
  <c r="AN486" i="3" s="1"/>
  <c r="AG489" i="3" a="1"/>
  <c r="AG489" i="3" s="1"/>
  <c r="AL486" i="3" a="1"/>
  <c r="AL486" i="3" s="1"/>
  <c r="X484" i="3" a="1"/>
  <c r="X484" i="3" s="1"/>
  <c r="AX484" i="3" s="1"/>
  <c r="X483" i="3" a="1"/>
  <c r="X483" i="3" s="1"/>
  <c r="AX483" i="3" s="1"/>
  <c r="AX478" i="3" s="1"/>
  <c r="F476" i="3" s="1"/>
  <c r="Z486" i="3" a="1"/>
  <c r="Z486" i="3" s="1"/>
  <c r="AN485" i="3" a="1"/>
  <c r="AN485" i="3" s="1"/>
  <c r="AE485" i="3" a="1"/>
  <c r="AE485" i="3" s="1"/>
  <c r="AE484" i="3" a="1"/>
  <c r="AE484" i="3" s="1"/>
  <c r="BE484" i="3" s="1"/>
  <c r="AG488" i="3" a="1"/>
  <c r="AG488" i="3" s="1"/>
  <c r="AJ485" i="3" a="1"/>
  <c r="AJ485" i="3" s="1"/>
  <c r="AO484" i="3" a="1"/>
  <c r="AO484" i="3" s="1"/>
  <c r="AU485" i="3" a="1"/>
  <c r="AU485" i="3" s="1"/>
  <c r="AO488" i="3" a="1"/>
  <c r="AO488" i="3" s="1"/>
  <c r="AT486" i="3" a="1"/>
  <c r="AT486" i="3" s="1"/>
  <c r="AG484" i="3" a="1"/>
  <c r="AG484" i="3" s="1"/>
  <c r="BG484" i="3" s="1"/>
  <c r="Z484" i="3" a="1"/>
  <c r="Z484" i="3" s="1"/>
  <c r="AZ484" i="3" s="1"/>
  <c r="AM484" i="3" a="1"/>
  <c r="AM484" i="3" s="1"/>
  <c r="AR488" i="3" a="1"/>
  <c r="AR488" i="3" s="1"/>
  <c r="AA485" i="3" a="1"/>
  <c r="AA485" i="3" s="1"/>
  <c r="AC489" i="3" a="1"/>
  <c r="AC489" i="3" s="1"/>
  <c r="Y486" i="3" a="1"/>
  <c r="Y486" i="3" s="1"/>
  <c r="AP486" i="3" a="1"/>
  <c r="AP486" i="3" s="1"/>
  <c r="AQ488" i="3" a="1"/>
  <c r="AQ488" i="3" s="1"/>
  <c r="Z488" i="3" a="1"/>
  <c r="Z488" i="3" s="1"/>
  <c r="AF484" i="3" a="1"/>
  <c r="AF484" i="3" s="1"/>
  <c r="BF484" i="3" s="1"/>
  <c r="AM483" i="3" a="1"/>
  <c r="AM483" i="3" s="1"/>
  <c r="AR487" i="3" a="1"/>
  <c r="AR487" i="3" s="1"/>
  <c r="AR484" i="3" a="1"/>
  <c r="AR484" i="3" s="1"/>
  <c r="AU487" i="3" a="1"/>
  <c r="AU487" i="3" s="1"/>
  <c r="Z487" i="3" a="1"/>
  <c r="Z487" i="3" s="1"/>
  <c r="AQ483" i="3" a="1"/>
  <c r="AQ483" i="3" s="1"/>
  <c r="AQ486" i="3" a="1"/>
  <c r="AQ486" i="3" s="1"/>
  <c r="AC488" i="3" a="1"/>
  <c r="AC488" i="3" s="1"/>
  <c r="AP487" i="3" a="1"/>
  <c r="AP487" i="3" s="1"/>
  <c r="AR485" i="3" a="1"/>
  <c r="AR485" i="3" s="1"/>
  <c r="AC485" i="3" a="1"/>
  <c r="AC485" i="3" s="1"/>
  <c r="AH484" i="3" a="1"/>
  <c r="AH484" i="3" s="1"/>
  <c r="BH484" i="3" s="1"/>
  <c r="AO487" i="3" a="1"/>
  <c r="AO487" i="3" s="1"/>
  <c r="W483" i="3" a="1"/>
  <c r="W483" i="3" s="1"/>
  <c r="AW483" i="3" s="1"/>
  <c r="AW478" i="3" s="1"/>
  <c r="E476" i="3" s="1"/>
  <c r="AK487" i="3" a="1"/>
  <c r="AK487" i="3" s="1"/>
  <c r="AP485" i="3" a="1"/>
  <c r="AP485" i="3" s="1"/>
  <c r="Y485" i="3" a="1"/>
  <c r="Y485" i="3" s="1"/>
  <c r="AM485" i="3" a="1"/>
  <c r="AM485" i="3" s="1"/>
  <c r="Y487" i="3" a="1"/>
  <c r="Y487" i="3" s="1"/>
  <c r="AR483" i="3" a="1"/>
  <c r="AR483" i="3" s="1"/>
  <c r="W488" i="3" a="1"/>
  <c r="W488" i="3" s="1"/>
  <c r="AA483" i="3" a="1"/>
  <c r="AA483" i="3" s="1"/>
  <c r="BA483" i="3" s="1"/>
  <c r="AS485" i="3" a="1"/>
  <c r="AS485" i="3" s="1"/>
  <c r="AF488" i="3" a="1"/>
  <c r="AF488" i="3" s="1"/>
  <c r="AB488" i="3" a="1"/>
  <c r="AB488" i="3" s="1"/>
  <c r="AA487" i="3" a="1"/>
  <c r="AA487" i="3" s="1"/>
  <c r="X485" i="3" a="1"/>
  <c r="X485" i="3" s="1"/>
  <c r="AD489" i="3" a="1"/>
  <c r="AD489" i="3" s="1"/>
  <c r="AU484" i="3" a="1"/>
  <c r="AU484" i="3" s="1"/>
  <c r="AT483" i="3" a="1"/>
  <c r="AT483" i="3" s="1"/>
  <c r="AB489" i="3" a="1"/>
  <c r="AB489" i="3" s="1"/>
  <c r="AT488" i="3" a="1"/>
  <c r="AT488" i="3" s="1"/>
  <c r="Y488" i="3" a="1"/>
  <c r="Y488" i="3" s="1"/>
  <c r="AK484" i="3" a="1"/>
  <c r="AK484" i="3" s="1"/>
  <c r="AU483" i="3" a="1"/>
  <c r="AU483" i="3" s="1"/>
  <c r="AB484" i="3" a="1"/>
  <c r="AB484" i="3" s="1"/>
  <c r="BB484" i="3" s="1"/>
  <c r="AG483" i="3" a="1"/>
  <c r="AG483" i="3" s="1"/>
  <c r="BG483" i="3" s="1"/>
  <c r="AJ487" i="3" a="1"/>
  <c r="AJ487" i="3" s="1"/>
  <c r="AE488" i="3" a="1"/>
  <c r="AE488" i="3" s="1"/>
  <c r="AS486" i="3" a="1"/>
  <c r="AS486" i="3" s="1"/>
  <c r="Y484" i="3" a="1"/>
  <c r="Y484" i="3" s="1"/>
  <c r="AY484" i="3" s="1"/>
  <c r="AT487" i="3" a="1"/>
  <c r="AT487" i="3" s="1"/>
  <c r="AF489" i="3" a="1"/>
  <c r="AF489" i="3" s="1"/>
  <c r="AD485" i="3" a="1"/>
  <c r="AD485" i="3" s="1"/>
  <c r="AD484" i="3" a="1"/>
  <c r="AD484" i="3" s="1"/>
  <c r="BD484" i="3" s="1"/>
  <c r="AH487" i="3" a="1"/>
  <c r="AH487" i="3" s="1"/>
  <c r="X488" i="3" a="1"/>
  <c r="X488" i="3" s="1"/>
  <c r="AD487" i="3" a="1"/>
  <c r="AD487" i="3" s="1"/>
  <c r="AK486" i="3" a="1"/>
  <c r="AK486" i="3" s="1"/>
  <c r="AE487" i="3" a="1"/>
  <c r="AE487" i="3" s="1"/>
  <c r="AU486" i="3" a="1"/>
  <c r="AU486" i="3" s="1"/>
  <c r="AA489" i="3" a="1"/>
  <c r="AA489" i="3" s="1"/>
  <c r="AH489" i="3" a="1"/>
  <c r="AH489" i="3" s="1"/>
  <c r="AS488" i="3" a="1"/>
  <c r="AS488" i="3" s="1"/>
  <c r="AF483" i="3" a="1"/>
  <c r="AF483" i="3" s="1"/>
  <c r="BF483" i="3" s="1"/>
  <c r="AL488" i="3" a="1"/>
  <c r="AL488" i="3" s="1"/>
  <c r="AC487" i="3" a="1"/>
  <c r="AC487" i="3" s="1"/>
  <c r="AA484" i="3" a="1"/>
  <c r="AA484" i="3" s="1"/>
  <c r="BA484" i="3" s="1"/>
  <c r="AN484" i="3" a="1"/>
  <c r="AN484" i="3" s="1"/>
  <c r="AQ487" i="3" a="1"/>
  <c r="AQ487" i="3" s="1"/>
  <c r="AQ485" i="3" a="1"/>
  <c r="AQ485" i="3" s="1"/>
  <c r="AP483" i="3" a="1"/>
  <c r="AP483" i="3" s="1"/>
  <c r="AS483" i="3" a="1"/>
  <c r="AS483" i="3" s="1"/>
  <c r="AN488" i="3" a="1"/>
  <c r="AN488" i="3" s="1"/>
  <c r="AE489" i="3" a="1"/>
  <c r="AE489" i="3" s="1"/>
  <c r="AH483" i="3" a="1"/>
  <c r="AH483" i="3" s="1"/>
  <c r="BH483" i="3" s="1"/>
  <c r="AT484" i="3" a="1"/>
  <c r="AT484" i="3" s="1"/>
  <c r="AN487" i="3" a="1"/>
  <c r="AN487" i="3" s="1"/>
  <c r="AF485" i="3" a="1"/>
  <c r="AF485" i="3" s="1"/>
  <c r="AO483" i="3" a="1"/>
  <c r="AO483" i="3" s="1"/>
  <c r="AB486" i="3" a="1"/>
  <c r="AB486" i="3" s="1"/>
  <c r="AM488" i="3" a="1"/>
  <c r="AM488" i="3" s="1"/>
  <c r="AB487" i="3" a="1"/>
  <c r="AB487" i="3" s="1"/>
  <c r="AS487" i="3" a="1"/>
  <c r="AS487" i="3" s="1"/>
  <c r="X486" i="3" a="1"/>
  <c r="X486" i="3" s="1"/>
  <c r="AB485" i="3" a="1"/>
  <c r="AB485" i="3" s="1"/>
  <c r="AL484" i="3" a="1"/>
  <c r="AL484" i="3" s="1"/>
  <c r="AL487" i="3" a="1"/>
  <c r="AL487" i="3" s="1"/>
  <c r="AJ488" i="3" a="1"/>
  <c r="AJ488" i="3" s="1"/>
  <c r="AG485" i="3" a="1"/>
  <c r="AG485" i="3" s="1"/>
  <c r="Z485" i="3" a="1"/>
  <c r="Z485" i="3" s="1"/>
  <c r="AL485" i="3" a="1"/>
  <c r="AL485" i="3" s="1"/>
  <c r="AH485" i="3" a="1"/>
  <c r="AH485" i="3" s="1"/>
  <c r="AL515" i="3"/>
  <c r="AX521" i="3" s="1"/>
  <c r="AT518" i="3" s="1"/>
  <c r="AR518" i="3" s="1" a="1"/>
  <c r="AR518" i="3" s="1"/>
  <c r="AO485" i="3" a="1"/>
  <c r="AO485" i="3" s="1"/>
  <c r="AJ483" i="3" a="1"/>
  <c r="AJ483" i="3" s="1"/>
  <c r="AD488" i="3" a="1"/>
  <c r="AD488" i="3" s="1"/>
  <c r="Y483" i="3" a="1"/>
  <c r="Y483" i="3" s="1"/>
  <c r="AY483" i="3" s="1"/>
  <c r="AJ484" i="3" a="1"/>
  <c r="AJ484" i="3" s="1"/>
  <c r="AT485" i="3" a="1"/>
  <c r="AT485" i="3" s="1"/>
  <c r="AX8" i="6"/>
  <c r="L571" i="3" s="1"/>
  <c r="AL483" i="3" a="1"/>
  <c r="AL483" i="3" s="1"/>
  <c r="D559" i="3" a="1"/>
  <c r="D559" i="3" s="1"/>
  <c r="D560" i="3"/>
  <c r="S600" i="3"/>
  <c r="AF599" i="3" s="1"/>
  <c r="AL599" i="3"/>
  <c r="BD478" i="3" l="1"/>
  <c r="L476" i="3" s="1"/>
  <c r="V505" i="3"/>
  <c r="K478" i="3" s="1"/>
  <c r="K466" i="3" s="1"/>
  <c r="BE478" i="3"/>
  <c r="M476" i="3" s="1"/>
  <c r="AZ478" i="3"/>
  <c r="H476" i="3" s="1"/>
  <c r="BB478" i="3"/>
  <c r="J476" i="3" s="1"/>
  <c r="BG478" i="3"/>
  <c r="O476" i="3" s="1"/>
  <c r="BH478" i="3"/>
  <c r="P476" i="3" s="1"/>
  <c r="BA478" i="3"/>
  <c r="I476" i="3" s="1"/>
  <c r="BF478" i="3"/>
  <c r="N476" i="3" s="1"/>
  <c r="AY478" i="3"/>
  <c r="G476" i="3" s="1"/>
  <c r="C10" i="9"/>
  <c r="AT522" i="3"/>
  <c r="AR522" i="3" s="1" a="1"/>
  <c r="AR522" i="3" s="1"/>
  <c r="Z505" i="3" s="1"/>
  <c r="AT519" i="3"/>
  <c r="AR519" i="3" s="1" a="1"/>
  <c r="AR519" i="3" s="1"/>
  <c r="W505" i="3" s="1"/>
  <c r="AT514" i="3"/>
  <c r="AR514" i="3" s="1" a="1"/>
  <c r="AR514" i="3" s="1"/>
  <c r="R505" i="3" s="1"/>
  <c r="AT512" i="3"/>
  <c r="AR512" i="3" s="1" a="1"/>
  <c r="AR512" i="3" s="1"/>
  <c r="P505" i="3" s="1"/>
  <c r="E478" i="3" s="1"/>
  <c r="E466" i="3" s="1"/>
  <c r="AT516" i="3"/>
  <c r="AR516" i="3" s="1" a="1"/>
  <c r="AR516" i="3" s="1"/>
  <c r="T505" i="3" s="1"/>
  <c r="AT521" i="3"/>
  <c r="AR521" i="3" s="1" a="1"/>
  <c r="AR521" i="3" s="1"/>
  <c r="Y505" i="3" s="1"/>
  <c r="AT513" i="3"/>
  <c r="AR513" i="3" s="1" a="1"/>
  <c r="AR513" i="3" s="1"/>
  <c r="Q505" i="3" s="1"/>
  <c r="F478" i="3" s="1"/>
  <c r="F466" i="3" s="1"/>
  <c r="AT520" i="3"/>
  <c r="AR520" i="3" s="1" a="1"/>
  <c r="AR520" i="3" s="1"/>
  <c r="X505" i="3" s="1"/>
  <c r="AT515" i="3"/>
  <c r="AR515" i="3" s="1" a="1"/>
  <c r="AR515" i="3" s="1"/>
  <c r="S505" i="3" s="1"/>
  <c r="H478" i="3" s="1"/>
  <c r="AT517" i="3"/>
  <c r="AR517" i="3" s="1" a="1"/>
  <c r="AR517" i="3" s="1"/>
  <c r="U505" i="3" s="1"/>
  <c r="AT523" i="3"/>
  <c r="AR523" i="3" s="1" a="1"/>
  <c r="AR523" i="3" s="1"/>
  <c r="AA505" i="3" s="1"/>
  <c r="M573" i="3"/>
  <c r="I605" i="3" s="1"/>
  <c r="I606" i="3" s="1"/>
  <c r="AL603" i="3" s="1"/>
  <c r="AX609" i="3" s="1"/>
  <c r="M572" i="3"/>
  <c r="AE573" i="3" s="1" a="1"/>
  <c r="AE573" i="3" s="1"/>
  <c r="I559" i="3"/>
  <c r="K559" i="3"/>
  <c r="M559" i="3"/>
  <c r="E559" i="3"/>
  <c r="J559" i="3"/>
  <c r="L559" i="3"/>
  <c r="O559" i="3"/>
  <c r="H559" i="3"/>
  <c r="P559" i="3"/>
  <c r="G559" i="3"/>
  <c r="N559" i="3"/>
  <c r="F559" i="3"/>
  <c r="S527" i="3" l="1"/>
  <c r="S529" i="3" s="1"/>
  <c r="K473" i="3" s="1"/>
  <c r="K465" i="3" s="1"/>
  <c r="K15" i="3" s="1"/>
  <c r="H466" i="3"/>
  <c r="O527" i="3"/>
  <c r="O529" i="3" s="1"/>
  <c r="G473" i="3" s="1"/>
  <c r="G478" i="3"/>
  <c r="G466" i="3" s="1"/>
  <c r="P478" i="3"/>
  <c r="P466" i="3" s="1"/>
  <c r="X527" i="3"/>
  <c r="X529" i="3" s="1"/>
  <c r="P473" i="3" s="1"/>
  <c r="U527" i="3"/>
  <c r="U529" i="3" s="1"/>
  <c r="M473" i="3" s="1"/>
  <c r="M478" i="3"/>
  <c r="M466" i="3" s="1"/>
  <c r="I478" i="3"/>
  <c r="I466" i="3" s="1"/>
  <c r="Q527" i="3"/>
  <c r="Q529" i="3" s="1"/>
  <c r="I473" i="3" s="1"/>
  <c r="J478" i="3"/>
  <c r="J466" i="3" s="1"/>
  <c r="R527" i="3"/>
  <c r="R529" i="3" s="1"/>
  <c r="J473" i="3" s="1"/>
  <c r="T527" i="3"/>
  <c r="T529" i="3" s="1"/>
  <c r="L473" i="3" s="1"/>
  <c r="L478" i="3"/>
  <c r="L466" i="3" s="1"/>
  <c r="W527" i="3"/>
  <c r="W529" i="3" s="1"/>
  <c r="O473" i="3" s="1"/>
  <c r="O478" i="3"/>
  <c r="O466" i="3" s="1"/>
  <c r="N478" i="3"/>
  <c r="N466" i="3" s="1"/>
  <c r="V527" i="3"/>
  <c r="V529" i="3" s="1"/>
  <c r="N473" i="3" s="1"/>
  <c r="P527" i="3"/>
  <c r="P529" i="3" s="1"/>
  <c r="H473" i="3" s="1"/>
  <c r="M527" i="3"/>
  <c r="M529" i="3" s="1"/>
  <c r="E473" i="3" s="1"/>
  <c r="E465" i="3" s="1"/>
  <c r="E15" i="3" s="1"/>
  <c r="AK575" i="3" a="1"/>
  <c r="AK575" i="3" s="1"/>
  <c r="AT574" i="3" a="1"/>
  <c r="AT574" i="3" s="1"/>
  <c r="AR572" i="3" a="1"/>
  <c r="AR572" i="3" s="1"/>
  <c r="AS574" i="3" a="1"/>
  <c r="AS574" i="3" s="1"/>
  <c r="AC575" i="3" a="1"/>
  <c r="AC575" i="3" s="1"/>
  <c r="BC575" i="3" s="1"/>
  <c r="AH577" i="3" a="1"/>
  <c r="AH577" i="3" s="1"/>
  <c r="AD576" i="3" a="1"/>
  <c r="AD576" i="3" s="1"/>
  <c r="AM575" i="3" a="1"/>
  <c r="AM575" i="3" s="1"/>
  <c r="AK574" i="3" a="1"/>
  <c r="AK574" i="3" s="1"/>
  <c r="W575" i="3" a="1"/>
  <c r="W575" i="3" s="1"/>
  <c r="AW575" i="3" s="1"/>
  <c r="AD572" i="3" a="1"/>
  <c r="AD572" i="3" s="1"/>
  <c r="BD572" i="3" s="1"/>
  <c r="AC576" i="3" a="1"/>
  <c r="AC576" i="3" s="1"/>
  <c r="AE574" i="3" a="1"/>
  <c r="AE574" i="3" s="1"/>
  <c r="AL575" i="3" a="1"/>
  <c r="AL575" i="3" s="1"/>
  <c r="AE575" i="3" a="1"/>
  <c r="AE575" i="3" s="1"/>
  <c r="BE575" i="3" s="1"/>
  <c r="Z573" i="3" a="1"/>
  <c r="Z573" i="3" s="1"/>
  <c r="AG573" i="3" a="1"/>
  <c r="AG573" i="3" s="1"/>
  <c r="AT575" i="3" a="1"/>
  <c r="AT575" i="3" s="1"/>
  <c r="AH572" i="3" a="1"/>
  <c r="AH572" i="3" s="1"/>
  <c r="BH572" i="3" s="1"/>
  <c r="AS571" i="3" a="1"/>
  <c r="AS571" i="3" s="1"/>
  <c r="AH571" i="3" a="1"/>
  <c r="AH571" i="3" s="1"/>
  <c r="BH571" i="3" s="1"/>
  <c r="AM574" i="3" a="1"/>
  <c r="AM574" i="3" s="1"/>
  <c r="AP572" i="3" a="1"/>
  <c r="AP572" i="3" s="1"/>
  <c r="AQ574" i="3" a="1"/>
  <c r="AQ574" i="3" s="1"/>
  <c r="AA576" i="3" a="1"/>
  <c r="AA576" i="3" s="1"/>
  <c r="AK573" i="3" a="1"/>
  <c r="AK573" i="3" s="1"/>
  <c r="AB577" i="3" a="1"/>
  <c r="AB577" i="3" s="1"/>
  <c r="AR575" i="3" a="1"/>
  <c r="AR575" i="3" s="1"/>
  <c r="AP571" i="3" a="1"/>
  <c r="AP571" i="3" s="1"/>
  <c r="AC577" i="3" a="1"/>
  <c r="AC577" i="3" s="1"/>
  <c r="AF572" i="3" a="1"/>
  <c r="AF572" i="3" s="1"/>
  <c r="BF572" i="3" s="1"/>
  <c r="AD575" i="3" a="1"/>
  <c r="AD575" i="3" s="1"/>
  <c r="BD575" i="3" s="1"/>
  <c r="AB576" i="3" a="1"/>
  <c r="AB576" i="3" s="1"/>
  <c r="X572" i="3" a="1"/>
  <c r="X572" i="3" s="1"/>
  <c r="AX572" i="3" s="1"/>
  <c r="AR573" i="3" a="1"/>
  <c r="AR573" i="3" s="1"/>
  <c r="AA574" i="3" a="1"/>
  <c r="AA574" i="3" s="1"/>
  <c r="AN572" i="3" a="1"/>
  <c r="AN572" i="3" s="1"/>
  <c r="AR576" i="3" a="1"/>
  <c r="AR576" i="3" s="1"/>
  <c r="AJ572" i="3" a="1"/>
  <c r="AJ572" i="3" s="1"/>
  <c r="AF576" i="3" a="1"/>
  <c r="AF576" i="3" s="1"/>
  <c r="AN576" i="3" a="1"/>
  <c r="AN576" i="3" s="1"/>
  <c r="AO576" i="3" a="1"/>
  <c r="AO576" i="3" s="1"/>
  <c r="AA573" i="3" a="1"/>
  <c r="AA573" i="3" s="1"/>
  <c r="AM572" i="3" a="1"/>
  <c r="AM572" i="3" s="1"/>
  <c r="AE576" i="3" a="1"/>
  <c r="AE576" i="3" s="1"/>
  <c r="W571" i="3" a="1"/>
  <c r="W571" i="3" s="1"/>
  <c r="AW571" i="3" s="1"/>
  <c r="AO573" i="3" a="1"/>
  <c r="AO573" i="3" s="1"/>
  <c r="X577" i="3" a="1"/>
  <c r="X577" i="3" s="1"/>
  <c r="Y576" i="3" a="1"/>
  <c r="Y576" i="3" s="1"/>
  <c r="AG575" i="3" a="1"/>
  <c r="AG575" i="3" s="1"/>
  <c r="BG575" i="3" s="1"/>
  <c r="AO575" i="3" a="1"/>
  <c r="AO575" i="3" s="1"/>
  <c r="X573" i="3" a="1"/>
  <c r="X573" i="3" s="1"/>
  <c r="AC571" i="3" a="1"/>
  <c r="AC571" i="3" s="1"/>
  <c r="BC571" i="3" s="1"/>
  <c r="W577" i="3" a="1"/>
  <c r="W577" i="3" s="1"/>
  <c r="AO572" i="3" a="1"/>
  <c r="AO572" i="3" s="1"/>
  <c r="AT571" i="3" a="1"/>
  <c r="AT571" i="3" s="1"/>
  <c r="Y574" i="3" a="1"/>
  <c r="Y574" i="3" s="1"/>
  <c r="AA571" i="3" a="1"/>
  <c r="AA571" i="3" s="1"/>
  <c r="BA571" i="3" s="1"/>
  <c r="X574" i="3" a="1"/>
  <c r="X574" i="3" s="1"/>
  <c r="AX574" i="3" s="1"/>
  <c r="AQ571" i="3" a="1"/>
  <c r="AQ571" i="3" s="1"/>
  <c r="AR574" i="3" a="1"/>
  <c r="AR574" i="3" s="1"/>
  <c r="AD577" i="3" a="1"/>
  <c r="AD577" i="3" s="1"/>
  <c r="AU574" i="3" a="1"/>
  <c r="AU574" i="3" s="1"/>
  <c r="AJ575" i="3" a="1"/>
  <c r="AJ575" i="3" s="1"/>
  <c r="AK572" i="3" a="1"/>
  <c r="AK572" i="3" s="1"/>
  <c r="AQ576" i="3" a="1"/>
  <c r="AQ576" i="3" s="1"/>
  <c r="Y571" i="3" a="1"/>
  <c r="Y571" i="3" s="1"/>
  <c r="AY571" i="3" s="1"/>
  <c r="AA577" i="3" a="1"/>
  <c r="AA577" i="3" s="1"/>
  <c r="Y573" i="3" a="1"/>
  <c r="Y573" i="3" s="1"/>
  <c r="AS575" i="3" a="1"/>
  <c r="AS575" i="3" s="1"/>
  <c r="AH575" i="3" a="1"/>
  <c r="AH575" i="3" s="1"/>
  <c r="BH575" i="3" s="1"/>
  <c r="AB572" i="3" a="1"/>
  <c r="AB572" i="3" s="1"/>
  <c r="BB572" i="3" s="1"/>
  <c r="Y572" i="3" a="1"/>
  <c r="Y572" i="3" s="1"/>
  <c r="AY572" i="3" s="1"/>
  <c r="AF577" i="3" a="1"/>
  <c r="AF577" i="3" s="1"/>
  <c r="Z577" i="3" a="1"/>
  <c r="Z577" i="3" s="1"/>
  <c r="AJ576" i="3" a="1"/>
  <c r="AJ576" i="3" s="1"/>
  <c r="AS573" i="3" a="1"/>
  <c r="AS573" i="3" s="1"/>
  <c r="AS572" i="3" a="1"/>
  <c r="AS572" i="3" s="1"/>
  <c r="AP576" i="3" a="1"/>
  <c r="AP576" i="3" s="1"/>
  <c r="AP573" i="3" a="1"/>
  <c r="AP573" i="3" s="1"/>
  <c r="AJ571" i="3" a="1"/>
  <c r="AJ571" i="3" s="1"/>
  <c r="AG572" i="3" a="1"/>
  <c r="AG572" i="3" s="1"/>
  <c r="BG572" i="3" s="1"/>
  <c r="AF571" i="3" a="1"/>
  <c r="AF571" i="3" s="1"/>
  <c r="BF571" i="3" s="1"/>
  <c r="AU576" i="3" a="1"/>
  <c r="AU576" i="3" s="1"/>
  <c r="AN575" i="3" a="1"/>
  <c r="AN575" i="3" s="1"/>
  <c r="Z575" i="3" a="1"/>
  <c r="Z575" i="3" s="1"/>
  <c r="AZ575" i="3" s="1"/>
  <c r="AQ572" i="3" a="1"/>
  <c r="AQ572" i="3" s="1"/>
  <c r="AT573" i="3" a="1"/>
  <c r="AT573" i="3" s="1"/>
  <c r="AU575" i="3" a="1"/>
  <c r="AU575" i="3" s="1"/>
  <c r="X571" i="3" a="1"/>
  <c r="X571" i="3" s="1"/>
  <c r="AX571" i="3" s="1"/>
  <c r="AG577" i="3" a="1"/>
  <c r="AG577" i="3" s="1"/>
  <c r="AM573" i="3" a="1"/>
  <c r="AM573" i="3" s="1"/>
  <c r="AP575" i="3" a="1"/>
  <c r="AP575" i="3" s="1"/>
  <c r="AH574" i="3" a="1"/>
  <c r="AH574" i="3" s="1"/>
  <c r="BH574" i="3" s="1"/>
  <c r="AM576" i="3" a="1"/>
  <c r="AM576" i="3" s="1"/>
  <c r="AE572" i="3" a="1"/>
  <c r="AE572" i="3" s="1"/>
  <c r="BE572" i="3" s="1"/>
  <c r="AD574" i="3" a="1"/>
  <c r="AD574" i="3" s="1"/>
  <c r="AL574" i="3" a="1"/>
  <c r="AL574" i="3" s="1"/>
  <c r="W574" i="3" a="1"/>
  <c r="W574" i="3" s="1"/>
  <c r="AA572" i="3" a="1"/>
  <c r="AA572" i="3" s="1"/>
  <c r="BA572" i="3" s="1"/>
  <c r="W572" i="3" a="1"/>
  <c r="W572" i="3" s="1"/>
  <c r="AW572" i="3" s="1"/>
  <c r="AE571" i="3" a="1"/>
  <c r="AE571" i="3" s="1"/>
  <c r="BE571" i="3" s="1"/>
  <c r="AB574" i="3" a="1"/>
  <c r="AB574" i="3" s="1"/>
  <c r="AB575" i="3" a="1"/>
  <c r="AB575" i="3" s="1"/>
  <c r="BB575" i="3" s="1"/>
  <c r="Y575" i="3" a="1"/>
  <c r="Y575" i="3" s="1"/>
  <c r="AY575" i="3" s="1"/>
  <c r="AO574" i="3" a="1"/>
  <c r="AO574" i="3" s="1"/>
  <c r="AF573" i="3" a="1"/>
  <c r="AF573" i="3" s="1"/>
  <c r="AP574" i="3" a="1"/>
  <c r="AP574" i="3" s="1"/>
  <c r="Z576" i="3" a="1"/>
  <c r="Z576" i="3" s="1"/>
  <c r="AL573" i="3" a="1"/>
  <c r="AL573" i="3" s="1"/>
  <c r="AQ575" i="3" a="1"/>
  <c r="AQ575" i="3" s="1"/>
  <c r="AE577" i="3" a="1"/>
  <c r="AE577" i="3" s="1"/>
  <c r="AC573" i="3" a="1"/>
  <c r="AC573" i="3" s="1"/>
  <c r="AL572" i="3" a="1"/>
  <c r="AL572" i="3" s="1"/>
  <c r="AQ573" i="3" a="1"/>
  <c r="AQ573" i="3" s="1"/>
  <c r="AN573" i="3" a="1"/>
  <c r="AN573" i="3" s="1"/>
  <c r="AT572" i="3" a="1"/>
  <c r="AT572" i="3" s="1"/>
  <c r="AK576" i="3" a="1"/>
  <c r="AK576" i="3" s="1"/>
  <c r="AD573" i="3" a="1"/>
  <c r="AD573" i="3" s="1"/>
  <c r="AN574" i="3" a="1"/>
  <c r="AN574" i="3" s="1"/>
  <c r="AN571" i="3" a="1"/>
  <c r="AN571" i="3" s="1"/>
  <c r="AJ574" i="3" a="1"/>
  <c r="AJ574" i="3" s="1"/>
  <c r="Z571" i="3" a="1"/>
  <c r="Z571" i="3" s="1"/>
  <c r="AZ571" i="3" s="1"/>
  <c r="AG576" i="3" a="1"/>
  <c r="AG576" i="3" s="1"/>
  <c r="AL571" i="3" a="1"/>
  <c r="AL571" i="3" s="1"/>
  <c r="AC572" i="3" a="1"/>
  <c r="AC572" i="3" s="1"/>
  <c r="BC572" i="3" s="1"/>
  <c r="AG571" i="3" a="1"/>
  <c r="AG571" i="3" s="1"/>
  <c r="BG571" i="3" s="1"/>
  <c r="AB571" i="3" a="1"/>
  <c r="AB571" i="3" s="1"/>
  <c r="BB571" i="3" s="1"/>
  <c r="AF574" i="3" a="1"/>
  <c r="AF574" i="3" s="1"/>
  <c r="Z574" i="3" a="1"/>
  <c r="Z574" i="3" s="1"/>
  <c r="AH573" i="3" a="1"/>
  <c r="AH573" i="3" s="1"/>
  <c r="AU571" i="3" a="1"/>
  <c r="AU571" i="3" s="1"/>
  <c r="W576" i="3" a="1"/>
  <c r="W576" i="3" s="1"/>
  <c r="AU573" i="3" a="1"/>
  <c r="AU573" i="3" s="1"/>
  <c r="AO571" i="3" a="1"/>
  <c r="AO571" i="3" s="1"/>
  <c r="Z572" i="3" a="1"/>
  <c r="Z572" i="3" s="1"/>
  <c r="AZ572" i="3" s="1"/>
  <c r="X575" i="3" a="1"/>
  <c r="X575" i="3" s="1"/>
  <c r="AX575" i="3" s="1"/>
  <c r="AR571" i="3" a="1"/>
  <c r="AR571" i="3" s="1"/>
  <c r="AA575" i="3" a="1"/>
  <c r="AA575" i="3" s="1"/>
  <c r="BA575" i="3" s="1"/>
  <c r="W573" i="3" a="1"/>
  <c r="W573" i="3" s="1"/>
  <c r="AT576" i="3" a="1"/>
  <c r="AT576" i="3" s="1"/>
  <c r="X576" i="3" a="1"/>
  <c r="X576" i="3" s="1"/>
  <c r="AF575" i="3" a="1"/>
  <c r="AF575" i="3" s="1"/>
  <c r="BF575" i="3" s="1"/>
  <c r="AH576" i="3" a="1"/>
  <c r="AH576" i="3" s="1"/>
  <c r="AK571" i="3" a="1"/>
  <c r="AK571" i="3" s="1"/>
  <c r="AU572" i="3" a="1"/>
  <c r="AU572" i="3" s="1"/>
  <c r="AL576" i="3" a="1"/>
  <c r="AL576" i="3" s="1"/>
  <c r="AD571" i="3" a="1"/>
  <c r="AD571" i="3" s="1"/>
  <c r="BD571" i="3" s="1"/>
  <c r="AC574" i="3" a="1"/>
  <c r="AC574" i="3" s="1"/>
  <c r="AM571" i="3" a="1"/>
  <c r="AM571" i="3" s="1"/>
  <c r="AG574" i="3" a="1"/>
  <c r="AG574" i="3" s="1"/>
  <c r="BG574" i="3" s="1"/>
  <c r="AJ573" i="3" a="1"/>
  <c r="AJ573" i="3" s="1"/>
  <c r="AB573" i="3" a="1"/>
  <c r="AB573" i="3" s="1"/>
  <c r="AS576" i="3" a="1"/>
  <c r="AS576" i="3" s="1"/>
  <c r="Y577" i="3" a="1"/>
  <c r="Y577" i="3" s="1"/>
  <c r="N527" i="3"/>
  <c r="N529" i="3" s="1"/>
  <c r="F473" i="3" s="1"/>
  <c r="F465" i="3" s="1"/>
  <c r="F15" i="3" s="1"/>
  <c r="S602" i="3"/>
  <c r="AF598" i="3" s="1"/>
  <c r="AT600" i="3"/>
  <c r="AR600" i="3" s="1" a="1"/>
  <c r="AR600" i="3" s="1"/>
  <c r="AT604" i="3"/>
  <c r="AR604" i="3" s="1" a="1"/>
  <c r="AR604" i="3" s="1"/>
  <c r="AT601" i="3"/>
  <c r="AR601" i="3" s="1" a="1"/>
  <c r="AR601" i="3" s="1"/>
  <c r="AT606" i="3"/>
  <c r="AR606" i="3" s="1" a="1"/>
  <c r="AR606" i="3" s="1"/>
  <c r="AT603" i="3"/>
  <c r="AR603" i="3" s="1" a="1"/>
  <c r="AR603" i="3" s="1"/>
  <c r="AT609" i="3"/>
  <c r="AR609" i="3" s="1" a="1"/>
  <c r="AR609" i="3" s="1"/>
  <c r="AT607" i="3"/>
  <c r="AR607" i="3" s="1" a="1"/>
  <c r="AR607" i="3" s="1"/>
  <c r="AT610" i="3"/>
  <c r="AR610" i="3" s="1" a="1"/>
  <c r="AR610" i="3" s="1"/>
  <c r="AT611" i="3"/>
  <c r="AR611" i="3" s="1" a="1"/>
  <c r="AR611" i="3" s="1"/>
  <c r="AT605" i="3"/>
  <c r="AR605" i="3" s="1" a="1"/>
  <c r="AR605" i="3" s="1"/>
  <c r="AT602" i="3"/>
  <c r="AR602" i="3" s="1" a="1"/>
  <c r="AR602" i="3" s="1"/>
  <c r="AT608" i="3"/>
  <c r="AR608" i="3" s="1" a="1"/>
  <c r="AR608" i="3" s="1"/>
  <c r="J465" i="3" l="1"/>
  <c r="J15" i="3" s="1"/>
  <c r="H465" i="3"/>
  <c r="H15" i="3" s="1"/>
  <c r="L465" i="3"/>
  <c r="L15" i="3" s="1"/>
  <c r="P465" i="3"/>
  <c r="P15" i="3" s="1"/>
  <c r="N465" i="3"/>
  <c r="N15" i="3" s="1"/>
  <c r="G465" i="3"/>
  <c r="G15" i="3" s="1"/>
  <c r="O465" i="3"/>
  <c r="O15" i="3" s="1"/>
  <c r="M465" i="3"/>
  <c r="M15" i="3" s="1"/>
  <c r="I465" i="3"/>
  <c r="I15" i="3" s="1"/>
  <c r="BF574" i="3"/>
  <c r="BC574" i="3"/>
  <c r="BD574" i="3"/>
  <c r="BD566" i="3" s="1"/>
  <c r="L564" i="3" s="1"/>
  <c r="AW574" i="3"/>
  <c r="BE574" i="3"/>
  <c r="BA574" i="3"/>
  <c r="BA566" i="3" s="1"/>
  <c r="I564" i="3" s="1"/>
  <c r="AZ574" i="3"/>
  <c r="AY574" i="3"/>
  <c r="AY566" i="3" s="1"/>
  <c r="G564" i="3" s="1"/>
  <c r="BB574" i="3"/>
  <c r="BB566" i="3" s="1"/>
  <c r="J564" i="3" s="1"/>
  <c r="BH566" i="3"/>
  <c r="P564" i="3" s="1"/>
  <c r="AA611" i="3"/>
  <c r="Y611" i="3" s="1" a="1"/>
  <c r="Y611" i="3" s="1"/>
  <c r="AA593" i="3" s="1"/>
  <c r="P566" i="3" s="1"/>
  <c r="AA603" i="3"/>
  <c r="Y603" i="3" s="1" a="1"/>
  <c r="Y603" i="3" s="1"/>
  <c r="S593" i="3" s="1"/>
  <c r="P615" i="3" s="1"/>
  <c r="P617" i="3" s="1"/>
  <c r="H561" i="3" s="1"/>
  <c r="AA607" i="3"/>
  <c r="Y607" i="3" s="1" a="1"/>
  <c r="Y607" i="3" s="1"/>
  <c r="W593" i="3" s="1"/>
  <c r="T615" i="3" s="1"/>
  <c r="T617" i="3" s="1"/>
  <c r="L561" i="3" s="1"/>
  <c r="AA605" i="3"/>
  <c r="Y605" i="3" s="1" a="1"/>
  <c r="Y605" i="3" s="1"/>
  <c r="U593" i="3" s="1"/>
  <c r="R615" i="3" s="1"/>
  <c r="R617" i="3" s="1"/>
  <c r="J561" i="3" s="1"/>
  <c r="AA610" i="3"/>
  <c r="Y610" i="3" s="1" a="1"/>
  <c r="Y610" i="3" s="1"/>
  <c r="Z593" i="3" s="1"/>
  <c r="O566" i="3" s="1"/>
  <c r="AA602" i="3"/>
  <c r="Y602" i="3" s="1" a="1"/>
  <c r="Y602" i="3" s="1"/>
  <c r="R593" i="3" s="1"/>
  <c r="O615" i="3" s="1"/>
  <c r="O617" i="3" s="1"/>
  <c r="G561" i="3" s="1"/>
  <c r="AA608" i="3"/>
  <c r="Y608" i="3" s="1" a="1"/>
  <c r="Y608" i="3" s="1"/>
  <c r="X593" i="3" s="1"/>
  <c r="M566" i="3" s="1"/>
  <c r="AA606" i="3"/>
  <c r="Y606" i="3" s="1" a="1"/>
  <c r="Y606" i="3" s="1"/>
  <c r="V593" i="3" s="1"/>
  <c r="S615" i="3" s="1"/>
  <c r="S617" i="3" s="1"/>
  <c r="K561" i="3" s="1"/>
  <c r="AA604" i="3"/>
  <c r="Y604" i="3" s="1" a="1"/>
  <c r="Y604" i="3" s="1"/>
  <c r="T593" i="3" s="1"/>
  <c r="I566" i="3" s="1"/>
  <c r="AA609" i="3"/>
  <c r="Y609" i="3" s="1" a="1"/>
  <c r="Y609" i="3" s="1"/>
  <c r="Y593" i="3" s="1"/>
  <c r="N566" i="3" s="1"/>
  <c r="AA601" i="3"/>
  <c r="Y601" i="3" s="1" a="1"/>
  <c r="Y601" i="3" s="1"/>
  <c r="Q593" i="3" s="1"/>
  <c r="N615" i="3" s="1"/>
  <c r="N617" i="3" s="1"/>
  <c r="F561" i="3" s="1"/>
  <c r="AA600" i="3"/>
  <c r="Y600" i="3" s="1" a="1"/>
  <c r="Y600" i="3" s="1"/>
  <c r="P593" i="3" s="1"/>
  <c r="E566" i="3" s="1"/>
  <c r="AW566" i="3"/>
  <c r="E564" i="3" s="1"/>
  <c r="BF566" i="3"/>
  <c r="N564" i="3" s="1"/>
  <c r="BC566" i="3"/>
  <c r="K564" i="3" s="1"/>
  <c r="AZ566" i="3"/>
  <c r="H564" i="3" s="1"/>
  <c r="BG566" i="3"/>
  <c r="O564" i="3" s="1"/>
  <c r="AX566" i="3"/>
  <c r="F564" i="3" s="1"/>
  <c r="BE566" i="3"/>
  <c r="M564" i="3" s="1"/>
  <c r="D465" i="3" l="1"/>
  <c r="D15" i="3" s="1"/>
  <c r="I554" i="3"/>
  <c r="X615" i="3"/>
  <c r="X617" i="3" s="1"/>
  <c r="P561" i="3" s="1"/>
  <c r="P554" i="3"/>
  <c r="L566" i="3"/>
  <c r="L554" i="3" s="1"/>
  <c r="L553" i="3" s="1"/>
  <c r="Q615" i="3"/>
  <c r="Q617" i="3" s="1"/>
  <c r="I561" i="3" s="1"/>
  <c r="H566" i="3"/>
  <c r="H554" i="3" s="1"/>
  <c r="H553" i="3" s="1"/>
  <c r="J566" i="3"/>
  <c r="J554" i="3" s="1"/>
  <c r="J553" i="3" s="1"/>
  <c r="V615" i="3"/>
  <c r="V617" i="3" s="1"/>
  <c r="N561" i="3" s="1"/>
  <c r="O554" i="3"/>
  <c r="F566" i="3"/>
  <c r="F554" i="3" s="1"/>
  <c r="F553" i="3" s="1"/>
  <c r="W615" i="3"/>
  <c r="W617" i="3" s="1"/>
  <c r="O561" i="3" s="1"/>
  <c r="G566" i="3"/>
  <c r="G554" i="3" s="1"/>
  <c r="G553" i="3" s="1"/>
  <c r="E554" i="3"/>
  <c r="M615" i="3"/>
  <c r="M617" i="3" s="1"/>
  <c r="E561" i="3" s="1"/>
  <c r="N554" i="3"/>
  <c r="K566" i="3"/>
  <c r="K554" i="3" s="1"/>
  <c r="K553" i="3" s="1"/>
  <c r="U615" i="3"/>
  <c r="U617" i="3" s="1"/>
  <c r="M561" i="3" s="1"/>
  <c r="M554" i="3"/>
  <c r="I553" i="3" l="1"/>
  <c r="I16" i="3" s="1"/>
  <c r="I6" i="3" s="1"/>
  <c r="P553" i="3"/>
  <c r="P16" i="3" s="1"/>
  <c r="P6" i="3" s="1"/>
  <c r="O553" i="3"/>
  <c r="O16" i="3" s="1"/>
  <c r="O6" i="3" s="1"/>
  <c r="N553" i="3"/>
  <c r="N16" i="3" s="1"/>
  <c r="N6" i="3" s="1"/>
  <c r="E553" i="3"/>
  <c r="E16" i="3" s="1"/>
  <c r="E6" i="3" s="1"/>
  <c r="M553" i="3"/>
  <c r="M16" i="3" s="1"/>
  <c r="M6" i="3" s="1"/>
  <c r="C11" i="9"/>
  <c r="J16" i="3"/>
  <c r="J6" i="3" s="1"/>
  <c r="H16" i="3"/>
  <c r="H6" i="3" s="1"/>
  <c r="G16" i="3"/>
  <c r="G6" i="3" s="1"/>
  <c r="K16" i="3"/>
  <c r="K6" i="3" s="1"/>
  <c r="F16" i="3"/>
  <c r="F6" i="3" s="1"/>
  <c r="L16" i="3"/>
  <c r="L6" i="3" s="1"/>
  <c r="D553" i="3" l="1"/>
  <c r="D16" i="3" s="1"/>
  <c r="D6" i="3" s="1"/>
  <c r="D3" i="3" s="1"/>
  <c r="D7" i="3"/>
  <c r="C32" i="7" l="1"/>
  <c r="G2" i="7" s="1"/>
  <c r="C14" i="9"/>
  <c r="C16" i="9" s="1"/>
  <c r="C12" i="9"/>
  <c r="C13" i="9" s="1"/>
  <c r="C31" i="7" l="1"/>
  <c r="F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<sst xmlns="http://schemas.openxmlformats.org/spreadsheetml/2006/main" count="2852" uniqueCount="542">
  <si>
    <t>Toelichting</t>
  </si>
  <si>
    <t>PV</t>
  </si>
  <si>
    <t>jaar</t>
  </si>
  <si>
    <t>januari</t>
  </si>
  <si>
    <t>februari</t>
  </si>
  <si>
    <t>maart</t>
  </si>
  <si>
    <t>april</t>
  </si>
  <si>
    <t>mei</t>
  </si>
  <si>
    <t>juni</t>
  </si>
  <si>
    <t>juli</t>
  </si>
  <si>
    <t>augustus</t>
  </si>
  <si>
    <t>september</t>
  </si>
  <si>
    <t>oktober</t>
  </si>
  <si>
    <t>november</t>
  </si>
  <si>
    <t>december</t>
  </si>
  <si>
    <t>E;PV</t>
  </si>
  <si>
    <t>Type PV-module</t>
  </si>
  <si>
    <t>Kpk</t>
  </si>
  <si>
    <t>W/m2</t>
  </si>
  <si>
    <t>PV-panelen:</t>
  </si>
  <si>
    <t>Monokristallijna silicium geplaatst voor 2001</t>
  </si>
  <si>
    <t>Monokristallijna silicium geplaatst in 2001 t/m 2010</t>
  </si>
  <si>
    <t>Monokristallijna silicium geplaatst in 2011 t/m 2014</t>
  </si>
  <si>
    <t>Monokristallijna silicium geplaatst in 2015 t/m 2017</t>
  </si>
  <si>
    <t>Monokristallijna silicium geplaatst vanaf 2018</t>
  </si>
  <si>
    <t>Multikristallijna silicium geplaatst voor 2001</t>
  </si>
  <si>
    <t>Multikristallijna silicium geplaatst in 2001 t/m 2010</t>
  </si>
  <si>
    <t>Multikristallijna silicium geplaatst in 2011 t/m 2014</t>
  </si>
  <si>
    <t>Multikristallijna silicium geplaatst in 2015 t/m 2017</t>
  </si>
  <si>
    <t>Multikristallijna silicium geplaatst vanaf 2018</t>
  </si>
  <si>
    <t>Dunne film zonnecellen:</t>
  </si>
  <si>
    <t xml:space="preserve">Amorf silicium zonnecel met enkelvoudige junctie </t>
  </si>
  <si>
    <t xml:space="preserve">Multi-junctie op amorf silicium gebaseerde zonnecellen </t>
  </si>
  <si>
    <t>Koper-indium/gallium-diselenide</t>
  </si>
  <si>
    <t>Cadmiumtelluride</t>
  </si>
  <si>
    <t>Opbrengstfactor</t>
  </si>
  <si>
    <t>Wijze van ventileren</t>
  </si>
  <si>
    <t>f;perf (-)</t>
  </si>
  <si>
    <t>Niet geventileerd</t>
  </si>
  <si>
    <t>Matig geventileerd</t>
  </si>
  <si>
    <t>Sterk geventileerd</t>
  </si>
  <si>
    <t>Onbekend</t>
  </si>
  <si>
    <t>I;ref</t>
  </si>
  <si>
    <t>kW/m2</t>
  </si>
  <si>
    <t>Correctiefactor beschaduwing</t>
  </si>
  <si>
    <t>Tabel 16.1</t>
  </si>
  <si>
    <t xml:space="preserve">Niet geventileerd (direct, zonder luchtspouw, op dak of 
gevel gemonteerd) </t>
  </si>
  <si>
    <t xml:space="preserve">Matig geventileerd (op of in dak of gevel gemonteerd, 
met een luchtspouw) </t>
  </si>
  <si>
    <t xml:space="preserve">Sterk geventileerd (vrijstaand op een open 
draagconstructie gemonteerd) of mechanisch 
geventileerde modules </t>
  </si>
  <si>
    <t>c;sh;PV;i;mi</t>
  </si>
  <si>
    <t>F;sh;obst;mi</t>
  </si>
  <si>
    <t>≤0,8</t>
  </si>
  <si>
    <t>Tabel 16.3</t>
  </si>
  <si>
    <t>Tabel 16.2</t>
  </si>
  <si>
    <t>paragraaf 16.2.2.5</t>
  </si>
  <si>
    <t xml:space="preserve">Eel;PV;out;i,mi is de maandelijkse bijdrage van het zonnestroomsysteem i, in kWh; </t>
  </si>
  <si>
    <t xml:space="preserve">Esol,mi is de opvallende zonnestraling in maand mi, bepaald volgens 16.2.2.1, in kWh/m2; </t>
  </si>
  <si>
    <t xml:space="preserve">Iref is de referentiezoninstraling, gelijk aan 1 kW/m2. </t>
  </si>
  <si>
    <t>paragraaf 16.2.2.2</t>
  </si>
  <si>
    <t xml:space="preserve">fperf;i is de dimensieloze opbrengstfactor van het desbetreffende zonnestroomsysteem i, bepaald volgens 16.2.2.3; </t>
  </si>
  <si>
    <t xml:space="preserve">Ppk;i is de som van de watt-piekvermogens van de zonnestroompanelen van het desbetreffende zonnestroomsysteem i, bepaald volgens 16.2.2.2, in kW;  </t>
  </si>
  <si>
    <t xml:space="preserve">csh,PV;mi;i is de dimensieloze correctiefactor voor de invloed van beschaduwing van het desbetreffende zonnestroomsyteem i, bepaald volgens 16.2.2.4; </t>
  </si>
  <si>
    <t xml:space="preserve">fprac,PV;i is de dimensieloze praktijkprestatiefactor PV van het desbetreffende zonnestroomsysteem i, bepaald volgens 16.2.2.5; </t>
  </si>
  <si>
    <t xml:space="preserve">Isol;mi is de opvallende zonnestraling in maand mi, bepaald volgens 17.2, in W/m2; </t>
  </si>
  <si>
    <t xml:space="preserve">[A1&gt;Fsh;obst;mi&lt;A1] is de dimensieloze beschaduwingsreductiefactor van het desbetreffende zonnestroomsysteem in maand mi, bepaald volgens 17.3. </t>
  </si>
  <si>
    <t xml:space="preserve">tmi is de rekenwaarde voor de lengte van de beschouwde maand mi, bepaald volgens 17.2, in h;  </t>
  </si>
  <si>
    <t xml:space="preserve">Ppk;i is de som van de watt-piekvermogens van de zonnestroompanelen van het desbetreffende zonnestroomsysteem i, in kW;  </t>
  </si>
  <si>
    <t xml:space="preserve">Kpk;i is het piekvermogen van de zonnestroompanelen per m2 zonnestroompaneel in W/m2;  </t>
  </si>
  <si>
    <t xml:space="preserve">APV;i is de oppervlakte van de desbetreffende zonnestroompanelen, exclusief draagconstructie, in m2. </t>
  </si>
  <si>
    <t>lineair interpoleren vor tussenliggende waarden</t>
  </si>
  <si>
    <t>f;prac;PV;i</t>
  </si>
  <si>
    <t>Januari</t>
  </si>
  <si>
    <t>-</t>
  </si>
  <si>
    <t>Februari</t>
  </si>
  <si>
    <t>Maart</t>
  </si>
  <si>
    <t>April</t>
  </si>
  <si>
    <t>Mei</t>
  </si>
  <si>
    <t>Juni</t>
  </si>
  <si>
    <t>Juli</t>
  </si>
  <si>
    <t>Augustus</t>
  </si>
  <si>
    <t>September</t>
  </si>
  <si>
    <t>Oktober</t>
  </si>
  <si>
    <t>November</t>
  </si>
  <si>
    <t>December</t>
  </si>
  <si>
    <t>tmi</t>
  </si>
  <si>
    <t>Maand</t>
  </si>
  <si>
    <t>Tabel 17.1</t>
  </si>
  <si>
    <t>Orientatie</t>
  </si>
  <si>
    <t>Elke orientatie</t>
  </si>
  <si>
    <t>helling t.o.v. horizontaal</t>
  </si>
  <si>
    <t>vert.</t>
  </si>
  <si>
    <t>Elke maand</t>
  </si>
  <si>
    <t>Tabel 17.6</t>
  </si>
  <si>
    <t>Hor.</t>
  </si>
  <si>
    <t xml:space="preserve">Schuin naar beneden gekeerd </t>
  </si>
  <si>
    <t>schuin naar boven gekeerd</t>
  </si>
  <si>
    <t>vert</t>
  </si>
  <si>
    <t xml:space="preserve">Tabel 17.6 — Beschaduwingsreductiefactor (Fsh;obst;mi) bij minimale belemmering, zoals 
omschreven in 17.3.2 onder a), voor zonnecollectoren voor warm tapwater en 
zonnestroompanelen </t>
  </si>
  <si>
    <t>E;el;pv;out;i;mi</t>
  </si>
  <si>
    <t>systeem 1</t>
  </si>
  <si>
    <t>systeem 2</t>
  </si>
  <si>
    <t>systeem 3</t>
  </si>
  <si>
    <t>systeem 4</t>
  </si>
  <si>
    <t>systeem 5</t>
  </si>
  <si>
    <t>systeem 6</t>
  </si>
  <si>
    <t>systeem 7</t>
  </si>
  <si>
    <t>Esol</t>
  </si>
  <si>
    <t>Ppk</t>
  </si>
  <si>
    <t>fperfi</t>
  </si>
  <si>
    <t>cshpv;i;mi</t>
  </si>
  <si>
    <t>fprac;pv;i</t>
  </si>
  <si>
    <t>Iref</t>
  </si>
  <si>
    <t>tabel 16,2</t>
  </si>
  <si>
    <t>Isol</t>
  </si>
  <si>
    <t>Fsh;obst;mi</t>
  </si>
  <si>
    <t>Apv</t>
  </si>
  <si>
    <t>Kpk reken</t>
  </si>
  <si>
    <t>Kpk invoer</t>
  </si>
  <si>
    <t>ventilatie</t>
  </si>
  <si>
    <t>invoer</t>
  </si>
  <si>
    <t>Zonnestraling I;sol (W/m2)</t>
  </si>
  <si>
    <t>beta (°)</t>
  </si>
  <si>
    <t>0°</t>
  </si>
  <si>
    <t>45°</t>
  </si>
  <si>
    <t>90°</t>
  </si>
  <si>
    <t>135°</t>
  </si>
  <si>
    <t>180°</t>
  </si>
  <si>
    <t>225°</t>
  </si>
  <si>
    <t>270°</t>
  </si>
  <si>
    <t>315°</t>
  </si>
  <si>
    <t xml:space="preserve">N </t>
  </si>
  <si>
    <t xml:space="preserve">NO </t>
  </si>
  <si>
    <t xml:space="preserve">O </t>
  </si>
  <si>
    <t xml:space="preserve">ZO </t>
  </si>
  <si>
    <t xml:space="preserve">Z </t>
  </si>
  <si>
    <t xml:space="preserve">ZW </t>
  </si>
  <si>
    <t xml:space="preserve">W </t>
  </si>
  <si>
    <t xml:space="preserve">NW </t>
  </si>
  <si>
    <t>Tabel 17.2</t>
  </si>
  <si>
    <t>tabel 17.2</t>
  </si>
  <si>
    <t>Wp/m2</t>
  </si>
  <si>
    <t>Wp/paneel</t>
  </si>
  <si>
    <t>orientatie</t>
  </si>
  <si>
    <t>niet geventileerd</t>
  </si>
  <si>
    <t>matig geventileerd</t>
  </si>
  <si>
    <t>sterk geventileerd</t>
  </si>
  <si>
    <t>onbekend</t>
  </si>
  <si>
    <t>minimale belemmering</t>
  </si>
  <si>
    <t>zijbelemmering rechts</t>
  </si>
  <si>
    <t>zijbelemmering links</t>
  </si>
  <si>
    <t>zijbelemmering beide</t>
  </si>
  <si>
    <t>volledige belemmering</t>
  </si>
  <si>
    <t>overige belemmering</t>
  </si>
  <si>
    <t>horizontaal</t>
  </si>
  <si>
    <t>zuid</t>
  </si>
  <si>
    <t>zuidwest</t>
  </si>
  <si>
    <t>west</t>
  </si>
  <si>
    <t>noordwest</t>
  </si>
  <si>
    <t>noord</t>
  </si>
  <si>
    <t>noordoost</t>
  </si>
  <si>
    <t>oost</t>
  </si>
  <si>
    <t>zuidoost</t>
  </si>
  <si>
    <t>Keuzeopties forfaitair</t>
  </si>
  <si>
    <t>Amorf silicium zonnecel met enkelvoudige junctie  (65 Wp/m2)</t>
  </si>
  <si>
    <t>Multi-junctie op amorf silicium gebaseerde zonnecellen  (55 Wp/m2)</t>
  </si>
  <si>
    <t>Koper-indium/gallium-diselenide (105 Wp/m2)</t>
  </si>
  <si>
    <t>Cadmiumtelluride (95 Wp/m2)</t>
  </si>
  <si>
    <t>Wp forfaitair</t>
  </si>
  <si>
    <t>Oriëntatie</t>
  </si>
  <si>
    <t>Ventilatie</t>
  </si>
  <si>
    <t>Beschaduwing</t>
  </si>
  <si>
    <t>beta</t>
  </si>
  <si>
    <t>tabel</t>
  </si>
  <si>
    <t>deel van tabel 17.2</t>
  </si>
  <si>
    <t>hoek</t>
  </si>
  <si>
    <t>komt overeen</t>
  </si>
  <si>
    <t>NO</t>
  </si>
  <si>
    <t>1e tabel</t>
  </si>
  <si>
    <t>2e tabel</t>
  </si>
  <si>
    <t>verdeling</t>
  </si>
  <si>
    <t>N</t>
  </si>
  <si>
    <t>O</t>
  </si>
  <si>
    <t>ZO</t>
  </si>
  <si>
    <t>Z</t>
  </si>
  <si>
    <t>ZW</t>
  </si>
  <si>
    <t>W</t>
  </si>
  <si>
    <t>NW</t>
  </si>
  <si>
    <t>kolomnr.</t>
  </si>
  <si>
    <t>waarde uit eerste tabel</t>
  </si>
  <si>
    <t>waarde uit tweede tabel</t>
  </si>
  <si>
    <t>Interpolatie tabel 1 en 2</t>
  </si>
  <si>
    <t>rijnr.</t>
  </si>
  <si>
    <t>datablad tabel 17.1</t>
  </si>
  <si>
    <t>definitie</t>
  </si>
  <si>
    <t>Tabel 16.3 o.b.v. Fsh;obst.mi</t>
  </si>
  <si>
    <t>afhankelijk van belemmering. Tabel 17.6</t>
  </si>
  <si>
    <t>17,3,6</t>
  </si>
  <si>
    <t>17,3,7</t>
  </si>
  <si>
    <t>17,3,3</t>
  </si>
  <si>
    <t>paragraaf</t>
  </si>
  <si>
    <t>tabel 17.6</t>
  </si>
  <si>
    <t>waarde is 1</t>
  </si>
  <si>
    <t>tabel 17.12</t>
  </si>
  <si>
    <t>tabel 17.15</t>
  </si>
  <si>
    <t>Tabel 17.12</t>
  </si>
  <si>
    <t>Tabel 17.15</t>
  </si>
  <si>
    <t>Tabel 17.15 — Beschaduwingsreductiefactor (Fsh;obst;m) bij volledige belemmering, zoals omschreven in 17.3.2 onder e), voor zonnecollectoren voor warm tapwater en zonnestroompanelen</t>
  </si>
  <si>
    <t>Noord</t>
  </si>
  <si>
    <t>verticaal schuin naar boven gekeerd</t>
  </si>
  <si>
    <t>hor.</t>
  </si>
  <si>
    <t>Noord-oost</t>
  </si>
  <si>
    <t>Oost</t>
  </si>
  <si>
    <t>Zuid-oost</t>
  </si>
  <si>
    <t>Zuid</t>
  </si>
  <si>
    <t>Zuid-west</t>
  </si>
  <si>
    <t>West</t>
  </si>
  <si>
    <t>Noord-west</t>
  </si>
  <si>
    <t xml:space="preserve">Tabel 17.12 — Beschaduwingsreductiefactor (Fsh;obst;mi) voor zonnecollectoren voor warm tapwater en zonnestroompanelen, in geval van een zijbelemmering, zoals omschreven in 17.3.2  onder d)  </t>
  </si>
  <si>
    <t>bb</t>
  </si>
  <si>
    <t xml:space="preserve"> bb &lt;1,0 </t>
  </si>
  <si>
    <t xml:space="preserve">bb ≥1,0 </t>
  </si>
  <si>
    <t>links</t>
  </si>
  <si>
    <t>rechts</t>
  </si>
  <si>
    <t>beide</t>
  </si>
  <si>
    <t>Zuidwest</t>
  </si>
  <si>
    <t>Zuidoost</t>
  </si>
  <si>
    <t>Noordwest</t>
  </si>
  <si>
    <t>Noordoost</t>
  </si>
  <si>
    <t>dichtstbijzijnde waarde, als gelijk de hoogste waarde</t>
  </si>
  <si>
    <t>bepaling Isol:</t>
  </si>
  <si>
    <t>Bepaling Fsh;obst;mi</t>
  </si>
  <si>
    <t>Waarde o.b.v. tabel 17.6</t>
  </si>
  <si>
    <t>Waarde o.b.v. tabel 17.12</t>
  </si>
  <si>
    <t>Waarde o.b.v. tabel 17.15</t>
  </si>
  <si>
    <t>waarde overnemen</t>
  </si>
  <si>
    <t>5of6</t>
  </si>
  <si>
    <t>volledig of overig</t>
  </si>
  <si>
    <t>zoeken naar dichtstbijzijnde</t>
  </si>
  <si>
    <t>als gelijk naar hoogste</t>
  </si>
  <si>
    <t>links (2), rechts (3), beide (4)</t>
  </si>
  <si>
    <t>bb &lt; 1 (1), bb &gt;1 (2)</t>
  </si>
  <si>
    <t>waarde uit dropdown beschaduwing</t>
  </si>
  <si>
    <t>Bepaling cshpv;i;mi</t>
  </si>
  <si>
    <t>c;sh;pv;i;mi</t>
  </si>
  <si>
    <t>Tabel 16.3 interpolatie</t>
  </si>
  <si>
    <t>Fsh;obst;mi bij minimale belemmering</t>
  </si>
  <si>
    <t>Fsh;obst;mi bij zijbelemmering</t>
  </si>
  <si>
    <t>Fsh;obst;mi bij volledige of overige belemmering</t>
  </si>
  <si>
    <t>kolom</t>
  </si>
  <si>
    <t>kolomnr. in datablad</t>
  </si>
  <si>
    <t>rij</t>
  </si>
  <si>
    <t>kolom obv links/rechts en bb</t>
  </si>
  <si>
    <t>let op -1 vanwege kolom 0</t>
  </si>
  <si>
    <t>0-7</t>
  </si>
  <si>
    <t>8-22</t>
  </si>
  <si>
    <t>38-52</t>
  </si>
  <si>
    <t>53-67</t>
  </si>
  <si>
    <t>68-82</t>
  </si>
  <si>
    <t>128-142</t>
  </si>
  <si>
    <t>143-157</t>
  </si>
  <si>
    <t>173-180</t>
  </si>
  <si>
    <t>83-97</t>
  </si>
  <si>
    <t>23-37</t>
  </si>
  <si>
    <t>113-127</t>
  </si>
  <si>
    <t>98-112</t>
  </si>
  <si>
    <t>158-172</t>
  </si>
  <si>
    <t>grens</t>
  </si>
  <si>
    <t>bandbreedte</t>
  </si>
  <si>
    <t>ondergrens</t>
  </si>
  <si>
    <t>zoekkolom</t>
  </si>
  <si>
    <t>opbouw tabel 17,15</t>
  </si>
  <si>
    <t>opbouw volgens aflopende hoeken</t>
  </si>
  <si>
    <t>kolomnr. in datablad o.b.v. orientatie</t>
  </si>
  <si>
    <t>hier nog zoekkolom bij optellen</t>
  </si>
  <si>
    <t>invoer 1,2,3 of 4</t>
  </si>
  <si>
    <t>m2 bij invoer</t>
  </si>
  <si>
    <t>ophalen als forfaitair of ingevulde waarde</t>
  </si>
  <si>
    <t>Isol x tmi x FShbst/1000</t>
  </si>
  <si>
    <t>Eel;pv;out;i;mi = (Esol;mi x Pk;i x fperf;i x Cshp;i;mi x fprac;pv;i) / Iref</t>
  </si>
  <si>
    <t>Algemeen</t>
  </si>
  <si>
    <t>Straat</t>
  </si>
  <si>
    <t>Nummer</t>
  </si>
  <si>
    <t>Toevoeging</t>
  </si>
  <si>
    <t>Postcode</t>
  </si>
  <si>
    <t>Plaats</t>
  </si>
  <si>
    <t>Naam aanvrager</t>
  </si>
  <si>
    <t>Objectgegevens</t>
  </si>
  <si>
    <t>Datum</t>
  </si>
  <si>
    <t xml:space="preserve">Welke gegevens van het PV systeem zijn bekend? </t>
  </si>
  <si>
    <t>Systeem 1</t>
  </si>
  <si>
    <t>Maak een keuze</t>
  </si>
  <si>
    <t>Details PV systeem</t>
  </si>
  <si>
    <t>Vraag 1 weet je iets van het systeem?</t>
  </si>
  <si>
    <t>Geen gegevens, ik vul het aantal m2 paneel in</t>
  </si>
  <si>
    <t>Geen gegevens, ik vul het aantal panelen in</t>
  </si>
  <si>
    <t>Welke orientatie hebben de panelen?</t>
  </si>
  <si>
    <t>Is er sprake van beschaduwing van de panelen?</t>
  </si>
  <si>
    <t>zijbelemmering beide zijden</t>
  </si>
  <si>
    <t>Is het een nieuw systeem of bestaand?</t>
  </si>
  <si>
    <t>nieuw systeem</t>
  </si>
  <si>
    <t>bestaand systeem</t>
  </si>
  <si>
    <t>nieuw of bestaand</t>
  </si>
  <si>
    <t>geen of minimale belemmering</t>
  </si>
  <si>
    <t>volledige of overige belemmering/ conservatieve rekenwaarde</t>
  </si>
  <si>
    <t>definitie defaultwaarde, maken we niet aanpasbaar</t>
  </si>
  <si>
    <t>Monokristallijn silicium geplaatst voor 2001 (125 Wp/m2)</t>
  </si>
  <si>
    <t>Monokristallijn silicium geplaatst in 2001 t/m 2010 (135 Wp/m2)</t>
  </si>
  <si>
    <t>Monokristallijn silicium geplaatst in 2011 t/m 2014 (150 Wp/m2)</t>
  </si>
  <si>
    <t>Monokristallijn silicium geplaatst in 2015 t/m 2017 (165 Wp/m2)</t>
  </si>
  <si>
    <t>Monokristallijn silicium geplaatst vanaf 2018 (175 Wp/m2)</t>
  </si>
  <si>
    <t>Multikristallijn silicium geplaatst voor 2001 (115 Wp/m2)</t>
  </si>
  <si>
    <t>Multikristallijn silicium geplaatst in 2001 t/m 2010 (125 Wp/m2)</t>
  </si>
  <si>
    <t>Multikristallijn silicium geplaatst in 2011 t/m 2014 (140 Wp/m2)</t>
  </si>
  <si>
    <t>Multikristallijn silicium geplaatst in 2015 t/m 2017 (155 Wp/m2)</t>
  </si>
  <si>
    <t>Multikristallijn silicium geplaatst vanaf 2018 (165 Wp/m2)</t>
  </si>
  <si>
    <t>Monokristallijn silicium</t>
  </si>
  <si>
    <t>Multikristallijn silicium</t>
  </si>
  <si>
    <t>Amorf silicium met enkelvoudige junctie</t>
  </si>
  <si>
    <t>Amorf silicium met multi-junctie</t>
  </si>
  <si>
    <t>Type cel</t>
  </si>
  <si>
    <t>Gebouwkenmerken</t>
  </si>
  <si>
    <t xml:space="preserve">graden </t>
  </si>
  <si>
    <t>Gegevens PV-systeem</t>
  </si>
  <si>
    <t xml:space="preserve">Is er sprake van ventilatie achter de panelen? </t>
  </si>
  <si>
    <r>
      <t>Aantal m</t>
    </r>
    <r>
      <rPr>
        <vertAlign val="superscript"/>
        <sz val="11"/>
        <color theme="1"/>
        <rFont val="Calibri"/>
        <family val="2"/>
        <scheme val="minor"/>
      </rPr>
      <t>2</t>
    </r>
    <r>
      <rPr>
        <sz val="11"/>
        <color theme="1"/>
        <rFont val="Calibri"/>
        <family val="2"/>
        <scheme val="minor"/>
      </rPr>
      <t xml:space="preserve"> paneel</t>
    </r>
  </si>
  <si>
    <t>Aantal panelen</t>
  </si>
  <si>
    <r>
      <t>m</t>
    </r>
    <r>
      <rPr>
        <b/>
        <vertAlign val="superscript"/>
        <sz val="11"/>
        <color theme="1"/>
        <rFont val="Calibri"/>
        <family val="2"/>
        <scheme val="minor"/>
      </rPr>
      <t>2</t>
    </r>
  </si>
  <si>
    <t>Wp</t>
  </si>
  <si>
    <t>[-]</t>
  </si>
  <si>
    <t>Is er nog een PV-systeem aanwezig?</t>
  </si>
  <si>
    <t>Waar vind je meer informatie?</t>
  </si>
  <si>
    <t>Onder welke hoek liggen de panelen ? (0° = horizontaal)(90° = verticaal)</t>
  </si>
  <si>
    <t>Dakoppervlak (nieuwe situatie) zonder ramen van uw woning of gebouw</t>
  </si>
  <si>
    <t>aanwezigheid systeem</t>
  </si>
  <si>
    <t>nee</t>
  </si>
  <si>
    <t>ja</t>
  </si>
  <si>
    <t>Naam of omschrijving systeem</t>
  </si>
  <si>
    <t>is som Wp systeem, is aantal maal Kpk uit tabel 16.1 of eigen waarde (let op in kW)</t>
  </si>
  <si>
    <t>check</t>
  </si>
  <si>
    <t>Bepaling eis: minimum hoeveelheid hernieuwbare energie</t>
  </si>
  <si>
    <t>Telefoon</t>
  </si>
  <si>
    <t>Email</t>
  </si>
  <si>
    <r>
      <t>Piekvermogen per m</t>
    </r>
    <r>
      <rPr>
        <vertAlign val="superscript"/>
        <sz val="11"/>
        <color theme="1"/>
        <rFont val="Calibri"/>
        <family val="2"/>
        <scheme val="minor"/>
      </rPr>
      <t>2</t>
    </r>
    <r>
      <rPr>
        <sz val="11"/>
        <color theme="1"/>
        <rFont val="Calibri"/>
        <family val="2"/>
        <scheme val="minor"/>
      </rPr>
      <t xml:space="preserve"> paneel</t>
    </r>
  </si>
  <si>
    <t>Piekvermogen per paneel</t>
  </si>
  <si>
    <t>Piekvermogen totaal systeem</t>
  </si>
  <si>
    <t>Jaartalklassen</t>
  </si>
  <si>
    <t xml:space="preserve">jaartalklasse </t>
  </si>
  <si>
    <t>&lt;2001</t>
  </si>
  <si>
    <t>2001-2010</t>
  </si>
  <si>
    <t>2011-2014</t>
  </si>
  <si>
    <t>2015-2017</t>
  </si>
  <si>
    <t>&gt;2018</t>
  </si>
  <si>
    <t>Ik weet het aantal m2 en Wp/m2</t>
  </si>
  <si>
    <t>Ik weet het aantal panelen en Wp/paneel</t>
  </si>
  <si>
    <r>
      <t>Ik weet het totaal ge</t>
    </r>
    <r>
      <rPr>
        <sz val="11"/>
        <color theme="1"/>
        <rFont val="Calibri"/>
        <family val="2"/>
      </rPr>
      <t>ï</t>
    </r>
    <r>
      <rPr>
        <sz val="11"/>
        <color theme="1"/>
        <rFont val="Calibri"/>
        <family val="2"/>
        <scheme val="minor"/>
      </rPr>
      <t>nstalleerd Wp vermogen</t>
    </r>
  </si>
  <si>
    <t>Totaal piekvermogen van systeem 1</t>
  </si>
  <si>
    <t xml:space="preserve">Systeemdetails </t>
  </si>
  <si>
    <t>Selecteer_zonnepaneeltype</t>
  </si>
  <si>
    <t>Typecel</t>
  </si>
  <si>
    <t>forfaitair</t>
  </si>
  <si>
    <t>INDEX voor invoerblad</t>
  </si>
  <si>
    <t>[-] panelen</t>
  </si>
  <si>
    <t>Wptotaal</t>
  </si>
  <si>
    <t>index FORFAITAIR</t>
  </si>
  <si>
    <t>Totaal wp</t>
  </si>
  <si>
    <t>m2 paneel</t>
  </si>
  <si>
    <t>dropdown</t>
  </si>
  <si>
    <t>or.</t>
  </si>
  <si>
    <t>ho</t>
  </si>
  <si>
    <t>Hellingshoek</t>
  </si>
  <si>
    <t>kolomnr. in tabel in datablad</t>
  </si>
  <si>
    <t xml:space="preserve">als horizontaal of hoek kleiner is dan 15 graden, orientatie zuid aanhouden. </t>
  </si>
  <si>
    <t>Relatieve breedte is kleiner dan 1</t>
  </si>
  <si>
    <t>Relatieve breedte is groter dan 1</t>
  </si>
  <si>
    <t xml:space="preserve">Relatieve breedte bb </t>
  </si>
  <si>
    <t>Relatieve breedte onbekend</t>
  </si>
  <si>
    <t>invoer hoek</t>
  </si>
  <si>
    <t>relatieve breedte</t>
  </si>
  <si>
    <t>invoer orientatie</t>
  </si>
  <si>
    <t>orientatie aan te houden</t>
  </si>
  <si>
    <t>uit invoer</t>
  </si>
  <si>
    <t xml:space="preserve">Eventuele toelichting kan in het vrije invoerveld worden ingevuld. </t>
  </si>
  <si>
    <t xml:space="preserve">Dit kan ook als er nog geen adresgegevens van het object beschikbaar zijn. </t>
  </si>
  <si>
    <t>Bij de bepaling van de GO worden niet meegerekend:</t>
  </si>
  <si>
    <t>- de oppervlakte van delen van vloeren, waarboven de netto-hoogte kleiner is dan 1,5 m, met uitzondering van vloeren onder trappen, hellingbanen e.d.;</t>
  </si>
  <si>
    <t>- een liftschacht;</t>
  </si>
  <si>
    <t>- een trapgat, schalmgat of vide, indien de oppervlakte daarvan groter is dan of gelijk is aan 4 m2;</t>
  </si>
  <si>
    <t>- een vrijstaande bouwconstructie (niet zijnde een trap) indien de horizontale doorsnede daarvan groter is dan of gelijk is aan 0,5 m2;</t>
  </si>
  <si>
    <t>- een leidingschacht, indien de horizontale doorsnede daarvan groter is dan of gelijk is aan 0,5 m2;</t>
  </si>
  <si>
    <t>- een dragende binnenwand.</t>
  </si>
  <si>
    <t>Bij de bepaling van de dakoppervlakte gaat het om het dichte deel van het dak. Dus exclusief de ramen. Ga uit van de binnenwerks maten.</t>
  </si>
  <si>
    <t>Gebruiksoppervlakte</t>
  </si>
  <si>
    <t>Dakoppervlak</t>
  </si>
  <si>
    <t xml:space="preserve">Gebruiksoppervlakte van de woning of het gebouw betreft de nieuwe situatie. Dus na renovatie. </t>
  </si>
  <si>
    <t>Bureau CRG controleert en publiceert gelijkwaardigheids- en kwaliteitsverklaringen van producten en systemen die in de bouw- en installatiesector worden toegepast</t>
  </si>
  <si>
    <t xml:space="preserve">Op de website van BCRG (Bureau Controle en Registratie Gelijkwaardigheid) staat goedgekeurde informatie over PV panelen. </t>
  </si>
  <si>
    <t xml:space="preserve">Sla de gelijkwaardigheids- of kwaliteitsverklaring op en voeg deze toe bij de aanvraag. </t>
  </si>
  <si>
    <t>Wat is het installatiejaar van de PV-panelen?</t>
  </si>
  <si>
    <t>Forfaitair waarde zonnepaneel</t>
  </si>
  <si>
    <t>Wanneer is er sprake van een systeem?</t>
  </si>
  <si>
    <t xml:space="preserve">Er kunnen met deze tool 7 verschillende PV systemen ingevoerd worden. </t>
  </si>
  <si>
    <t xml:space="preserve">Bij bestaande systemen wordt om het installatiejaar gevraagd. Dit wordt gebruikt om de opbrengst te bepalen. </t>
  </si>
  <si>
    <t xml:space="preserve">De NTA 8800 is de norm waarin de bepalingsmethode van de Energieprestatie van gebouwen staat beschreven. </t>
  </si>
  <si>
    <t>Invoerveld</t>
  </si>
  <si>
    <t>Afhankelijk van de beschikbare informatie kan op vijf manieren het PV systeem ingevuld worden. In dit veld kan een keuze worden gemaakt.</t>
  </si>
  <si>
    <t xml:space="preserve">Vul hier het aantal vierkante meter PV paneel in. </t>
  </si>
  <si>
    <t xml:space="preserve">Vul hier de hellingshoek in waaronder de panelen op het dak liggen. Zie onderstaand plaatje. </t>
  </si>
  <si>
    <t xml:space="preserve">Met deze tool kan de hoeveelheid hernieuwbare energie per jaar van het desbetreffende gebouw, in kWh per jaar worden bepaald. </t>
  </si>
  <si>
    <t xml:space="preserve">Het gaat om uitwendige niet-transparante scheidingsconstructies met een hellingshoek van ten minste 15° ten opzichte van de verticaal. </t>
  </si>
  <si>
    <t xml:space="preserve">Als de wijze van ventilatie niet vastgesteld kan worden, dan moet uitgegaan worden van de optie ‘niet geventileerd’. </t>
  </si>
  <si>
    <t xml:space="preserve">De relatieve breedte bb van een zijbelemmering is de afstand gedeeld door de breedte. </t>
  </si>
  <si>
    <t>Voor een uitgebreide toelichting op de term belemmering zie paragraaf 17.3 van de NTA 8800</t>
  </si>
  <si>
    <t>Resultaten</t>
  </si>
  <si>
    <t xml:space="preserve">Gebruiksoppervlak (GO) moet bepaald worden volgens NEN 2580. De gebruiksoppervlakte van een ruimte of een groep van ruimten is de oppervlakte, gemeten op vloerniveau, binnen </t>
  </si>
  <si>
    <t xml:space="preserve">de buitenste of woningscheidende muren. Het gaat om verwarmde gebieden. </t>
  </si>
  <si>
    <t xml:space="preserve">In hoofdstuk 16 van NTA 8800 is de bepalingsmethode voor PV opgenomen. </t>
  </si>
  <si>
    <t>de verwarmings-of koelinstallatie(s) onderdeel uitmaken van de renovatie, zowel voor woningbouw als utiliteitsbouw.</t>
  </si>
  <si>
    <t>Zie onderstaande afbeelding.</t>
  </si>
  <si>
    <t>PV_Rekentool!C</t>
  </si>
  <si>
    <t xml:space="preserve">In de kwaliteitsverklaring staat het Piekvermogen per m2 paneel [Wp/m2 ]. Neem deze over in de berekening. Neem in het tekstveld het gebruikte type paneel op. </t>
  </si>
  <si>
    <t xml:space="preserve">Is er bijvoorbeeld een dakkapel aanwezig, dan moet het platte dak van de dakkapel worden meegenomen. </t>
  </si>
  <si>
    <r>
      <rPr>
        <b/>
        <i/>
        <sz val="22"/>
        <color theme="1"/>
        <rFont val="Trebuchet MS"/>
        <family val="2"/>
      </rPr>
      <t>Rekentool</t>
    </r>
    <r>
      <rPr>
        <sz val="22"/>
        <color theme="1"/>
        <rFont val="Trebuchet MS"/>
        <family val="2"/>
      </rPr>
      <t xml:space="preserve"> hernieuwbare energie met PV bij ingrijpende renovatie</t>
    </r>
  </si>
  <si>
    <r>
      <t>(A</t>
    </r>
    <r>
      <rPr>
        <vertAlign val="subscript"/>
        <sz val="10"/>
        <color theme="1"/>
        <rFont val="Trebuchet MS"/>
        <family val="2"/>
      </rPr>
      <t>roof</t>
    </r>
    <r>
      <rPr>
        <sz val="10"/>
        <color theme="1"/>
        <rFont val="Trebuchet MS"/>
        <family val="2"/>
      </rPr>
      <t xml:space="preserve"> / A</t>
    </r>
    <r>
      <rPr>
        <vertAlign val="subscript"/>
        <sz val="10"/>
        <color theme="1"/>
        <rFont val="Trebuchet MS"/>
        <family val="2"/>
      </rPr>
      <t>g;tot</t>
    </r>
    <r>
      <rPr>
        <sz val="10"/>
        <color theme="1"/>
        <rFont val="Trebuchet MS"/>
        <family val="2"/>
      </rPr>
      <t>)</t>
    </r>
  </si>
  <si>
    <r>
      <t>(A</t>
    </r>
    <r>
      <rPr>
        <vertAlign val="subscript"/>
        <sz val="10"/>
        <color theme="1"/>
        <rFont val="Trebuchet MS"/>
        <family val="2"/>
      </rPr>
      <t>roof</t>
    </r>
    <r>
      <rPr>
        <sz val="10"/>
        <color theme="1"/>
        <rFont val="Trebuchet MS"/>
        <family val="2"/>
      </rPr>
      <t xml:space="preserve"> / A</t>
    </r>
    <r>
      <rPr>
        <vertAlign val="subscript"/>
        <sz val="10"/>
        <color theme="1"/>
        <rFont val="Trebuchet MS"/>
        <family val="2"/>
      </rPr>
      <t>g;tot</t>
    </r>
    <r>
      <rPr>
        <sz val="10"/>
        <color theme="1"/>
        <rFont val="Trebuchet MS"/>
        <family val="2"/>
      </rPr>
      <t>) rekenwaarde</t>
    </r>
  </si>
  <si>
    <r>
      <t>m</t>
    </r>
    <r>
      <rPr>
        <vertAlign val="superscript"/>
        <sz val="10"/>
        <color theme="0" tint="-0.499984740745262"/>
        <rFont val="Trebuchet MS"/>
        <family val="2"/>
      </rPr>
      <t>2</t>
    </r>
  </si>
  <si>
    <r>
      <rPr>
        <b/>
        <i/>
        <sz val="22"/>
        <color theme="1"/>
        <rFont val="Trebuchet MS"/>
        <family val="2"/>
      </rPr>
      <t>Toelichting rekentool</t>
    </r>
    <r>
      <rPr>
        <sz val="22"/>
        <color theme="1"/>
        <rFont val="Trebuchet MS"/>
        <family val="2"/>
      </rPr>
      <t xml:space="preserve"> hernieuwbare energie met PV bij ingrijpende renovatie</t>
    </r>
  </si>
  <si>
    <r>
      <t xml:space="preserve">PV-paneeltype </t>
    </r>
    <r>
      <rPr>
        <i/>
        <sz val="10"/>
        <color theme="1"/>
        <rFont val="Trebuchet MS"/>
        <family val="2"/>
      </rPr>
      <t>(optioneel, vrije invoer)</t>
    </r>
  </si>
  <si>
    <t xml:space="preserve">Deze twee velden worden gebruikt om de eis voor het object te bepalen. Onderstaand is een nadere toelichting van deze begrippen. </t>
  </si>
  <si>
    <t>Deze goedgekeurde informatie is vastgelegd in zogenaamde gelijkwaardigheids- en kwaliteitsverklaringen. Deze gegevens vind je op de website van de BCRG</t>
  </si>
  <si>
    <t>f;Pren;renelect</t>
  </si>
  <si>
    <t>formule 16.2</t>
  </si>
  <si>
    <t>[kW]</t>
  </si>
  <si>
    <t>[kWh/m2]</t>
  </si>
  <si>
    <t>[h]</t>
  </si>
  <si>
    <t>[W/m2]</t>
  </si>
  <si>
    <t>[kWh]</t>
  </si>
  <si>
    <t>Epren;elec=E;el;pv;out * f;Pren;renelect</t>
  </si>
  <si>
    <t>Epren;elec</t>
  </si>
  <si>
    <t>Totaal piekvermogen van systeem 2</t>
  </si>
  <si>
    <t>formule 5.39</t>
  </si>
  <si>
    <t xml:space="preserve">Eis </t>
  </si>
  <si>
    <r>
      <t xml:space="preserve">Ewe;prentot </t>
    </r>
    <r>
      <rPr>
        <sz val="11"/>
        <color theme="1"/>
        <rFont val="Calibri"/>
        <family val="2"/>
      </rPr>
      <t>≥</t>
    </r>
    <r>
      <rPr>
        <sz val="7.7"/>
        <color theme="1"/>
        <rFont val="Calibri"/>
        <family val="2"/>
      </rPr>
      <t xml:space="preserve"> </t>
    </r>
    <r>
      <rPr>
        <sz val="11"/>
        <color theme="1"/>
        <rFont val="Calibri"/>
        <family val="2"/>
      </rPr>
      <t>30 Aroof/Agtot</t>
    </r>
  </si>
  <si>
    <t>Ewe = Eprentot/ Agtot</t>
  </si>
  <si>
    <t>Eprentot = EprenH+EprenC+EprenW+Eprenel (5,29)</t>
  </si>
  <si>
    <t>Eprentot = Epren;el bij alleen PV</t>
  </si>
  <si>
    <r>
      <t xml:space="preserve">Is er sprake van </t>
    </r>
    <r>
      <rPr>
        <b/>
        <u/>
        <sz val="10"/>
        <color theme="1"/>
        <rFont val="Trebuchet MS"/>
        <family val="2"/>
      </rPr>
      <t>ventilatie</t>
    </r>
    <r>
      <rPr>
        <sz val="10"/>
        <color theme="1"/>
        <rFont val="Trebuchet MS"/>
        <family val="2"/>
      </rPr>
      <t xml:space="preserve"> achter de panelen? </t>
    </r>
  </si>
  <si>
    <r>
      <t xml:space="preserve">Is er sprake van </t>
    </r>
    <r>
      <rPr>
        <b/>
        <u/>
        <sz val="10"/>
        <color theme="1"/>
        <rFont val="Trebuchet MS"/>
        <family val="2"/>
      </rPr>
      <t>beschaduwing</t>
    </r>
    <r>
      <rPr>
        <sz val="10"/>
        <color theme="1"/>
        <rFont val="Trebuchet MS"/>
        <family val="2"/>
      </rPr>
      <t xml:space="preserve"> van de panelen?</t>
    </r>
  </si>
  <si>
    <r>
      <t xml:space="preserve">Wat is de </t>
    </r>
    <r>
      <rPr>
        <b/>
        <u/>
        <sz val="10"/>
        <color theme="1"/>
        <rFont val="Trebuchet MS"/>
        <family val="2"/>
      </rPr>
      <t>relatieve breedte</t>
    </r>
    <r>
      <rPr>
        <sz val="10"/>
        <color theme="1"/>
        <rFont val="Trebuchet MS"/>
        <family val="2"/>
      </rPr>
      <t xml:space="preserve"> van de belemmering?</t>
    </r>
  </si>
  <si>
    <t xml:space="preserve">Onder het kopje objectgegevens moeten de adresgegevens van het object ingevuld worden. </t>
  </si>
  <si>
    <t>Onder het kopje gebouwkenmerken moeten de gebruiksoppervlakte en de dakoppervlakte ingevuld worden.</t>
  </si>
  <si>
    <t>(bij een hellingshoek kleiner dan 15° ten opzichte van de verticaal spreken we van een gevel, zie afbeelding hiernaast)</t>
  </si>
  <si>
    <t xml:space="preserve">De rekentool hernieuwbare energie met PV bij ingrijpende renovatie kan worden gebruikt om het aantal PV panelen te bepalen waarmee kan worden voldaan aan de eis met betrekking tot de hoeveelheid hernieuwbare energie bij ingrijpende renovatie. </t>
  </si>
  <si>
    <t xml:space="preserve">De invoer en resultaten (printuitvoer) van de tool kunnen worden gebruikt om aan te tonen dat wordt voldaan aan de eisen. </t>
  </si>
  <si>
    <t xml:space="preserve">Door het gebruik van deze tool is het niet noodzakelijk een volledige NTA 8800 berekening te maken om aan te tonen dat wordt voldaan aan de eisen. </t>
  </si>
  <si>
    <t>Rekentool hernieuwbare energie met PV bij ingrijpende renovatie</t>
  </si>
  <si>
    <t xml:space="preserve">Het betreft de hoeveelheid primaire energie. Er is gerekend met een primaire energiefactor van 1,45 conform NTA 8800. </t>
  </si>
  <si>
    <t xml:space="preserve">De primaire energiefactor is een conversiefactor waarmee de berekende hoeveelheid energie ‘op de meter’ omgerekend wordt naar primaire energie. </t>
  </si>
  <si>
    <t xml:space="preserve">in beginsel geldt de eis voor een minimale hoeveelheid hernieuwbare energie voor alle bestaande gebouwen die ingrijpend gerenoveerd worden en waarbij </t>
  </si>
  <si>
    <t xml:space="preserve">Bij de opwek door PV-panelen is dit niet het geval. </t>
  </si>
  <si>
    <t xml:space="preserve">Voor andere technische oplossingen dan PV dient er wel een volledige NTA 8800 berekening worden uitgevoerd. Hierbij is de opwek namelijk afhankelijk van de isolatiegraad en geometrische gegevens van het desbetreffende gebouw. </t>
  </si>
  <si>
    <t>Disclaimer</t>
  </si>
  <si>
    <t>Versiegeschiedenis</t>
  </si>
  <si>
    <t xml:space="preserve">De rekentool hernieuwbare energie met PV bij ingrijpende renovatie is ontwikkeld door DGMR in opdracht van de Rijksdienst voor Ondernemend Nederland (RVO). </t>
  </si>
  <si>
    <t xml:space="preserve">Druk op de knop hiernaast om naar de website van BCRG te gaan. </t>
  </si>
  <si>
    <t xml:space="preserve">In het Bouwbesluit is de eis opgenomen over de hoeveelheid hernieuwbare energie bij ingrijpende renovatie. </t>
  </si>
  <si>
    <t>De Eis = minimaal 30 x (Aroof / Ag;tot) kWh/m2.jr , waarbij (Aroof / Ag;tot) ten hoogste 1,0 is</t>
  </si>
  <si>
    <t xml:space="preserve">De eis is afhankelijk van het het ingevoerde dakoppervlak (Aroof) en het gebruiksoppervlak (Ag;tot). </t>
  </si>
  <si>
    <t xml:space="preserve">De eis is uitgedrukt in een waarde per vierkante meter. Deze kan worden omgerekend naar het hele gebouw door te vermenigvuldigen met de gebruiksoppervlakte. </t>
  </si>
  <si>
    <t>Er is sprake van meerdere systememen als er verschillen zitten in oriëntatie, hellingshoek, type paneel of als de belemmeringen niet gelijk zijn.</t>
  </si>
  <si>
    <t xml:space="preserve">Dit is een vrij veld. Kies een handige naam, zodat je bij meerdere systemen een goed overzicht houdt. </t>
  </si>
  <si>
    <t xml:space="preserve">- Geen gegevens, ik vul het aantal m2 paneel in  -  Bij deze invoeroptie wordt op basis van forfaitaire waarden en het aantal m2 het aantal Wp bepaald. </t>
  </si>
  <si>
    <t xml:space="preserve">- Geen gegevens, ik vul het aantal panelen in      -  Bij deze invoeroptie wordt op basis van forfaitaire waarden en het aantal panelen het aantal Wp bepaald.* </t>
  </si>
  <si>
    <t xml:space="preserve">- Ik weet het aantal m2 en Wp/m2                      -  Bij deze invoeroptie wordt op basis van het aantal Wp/m2 en het aantal m2 paneel het aantal Wp bepaald. </t>
  </si>
  <si>
    <t>- Ik weet het aantal panelen en Wp/paneel          -  Bij deze invoeroptie wordt op basis van het aantal Wp/paneel en het aantal panelen het aantal Wp bepaald.*</t>
  </si>
  <si>
    <t xml:space="preserve">- Ik weet het totaal geïnstalleerd Wp vermogen   -  Bij deze invoeroptie kun je het totaal geinstalleerd Wp vermogen van het systeem invullen. </t>
  </si>
  <si>
    <t xml:space="preserve">- Niet geventileerd (direct, zonder luchtspouw, op dak of gevel gemonteerd) </t>
  </si>
  <si>
    <t xml:space="preserve">- Matig geventileerd (op of in dak of gevel gemonteerd, met een luchtspouw) </t>
  </si>
  <si>
    <t xml:space="preserve">- Sterk geventileerd (vrijstaand op een open draagconstructie gemonteerd) of mechanisch geventileerde modules </t>
  </si>
  <si>
    <t xml:space="preserve">De totale opbrengst wordt getoetst aan de eis voor het gebouw. </t>
  </si>
  <si>
    <t xml:space="preserve">Of er wordt voldaan aan de eis wordt visueel weergegeven in groen of rood. </t>
  </si>
  <si>
    <t>Er wordt gevraagd of er sprake is van een nieuw of een bestaand systeem. Deze gegevens worden gebruikt om bij bestaande systemen de opbrengst te bepalen.</t>
  </si>
  <si>
    <t>De paneeleigenschappen staan op de achterkant van het paneel vermeld. Als deze niet toegankelijk is, kan informatiedocumentatie van de installateur of van de factuur gebruikt worden.</t>
  </si>
  <si>
    <t>Als het jaar van plaatsing onbekend is, moet met het bouwjaar van het gebouw gerekend worden. Is het bouwjaar voor 2001, reken dan met 2000 als bouwjaar.</t>
  </si>
  <si>
    <t xml:space="preserve">Er  kan gekozen worden tussen diverse typen panelen. Het overgrote deel van de panelen in Nederland zijn kristallijn. Amorfe panelen komen nauwelijks voor. </t>
  </si>
  <si>
    <t xml:space="preserve">Bij kristallijne panelen kan er gekozen worden tussen monokristallijn en multikristallijn (ook wel polykristallijn genoemd). </t>
  </si>
  <si>
    <t xml:space="preserve">Bij Amorfe zonnecellen kan gekozen worden voor Amorf silicium, Koper-indium/gallium-diselenide en Cadmiumtelluride </t>
  </si>
  <si>
    <t xml:space="preserve">Als je het type paneel niet weet kan gerekend worden met multikristallijne panelen. </t>
  </si>
  <si>
    <t xml:space="preserve">In deze cel wordt per type paneel weergegeven met welke forfaitaire waarde van NTA 8800 wordt gerekend. </t>
  </si>
  <si>
    <t xml:space="preserve">Hier wordt het totaal piekvermogen van het betreffende systeem weergegeven. </t>
  </si>
  <si>
    <t>Totaal piekvermogen van systeem</t>
  </si>
  <si>
    <t xml:space="preserve">Maak hier een keuze tussen horizontaal of één van de acht orientaties. Alleen als de panelen volledig horizontaal liggen (0°), mag horizontaal gekozen worden. </t>
  </si>
  <si>
    <t xml:space="preserve">Hier moet aangegeven worden of de panelen geventileerd zijn. Panelen presteren beter als ze geventileerd zijn. Er zijn drie keuzes: </t>
  </si>
  <si>
    <t xml:space="preserve">Hier moet eventuele beschaduwing van de panelen worden opgenomen. Neem alleen beschaduwing door obstakels op het eigen perceel mee. </t>
  </si>
  <si>
    <t xml:space="preserve">Een belemmering belemmert de zonnestraling bij een zonnestand onder een bepaalde hoogte (gebouw, heuvel enz.). </t>
  </si>
  <si>
    <t>Als er sprake is van belemmering of beschaduwing moet de relatieve breedte ingevuld worden. De relatieve breedte is gedefinieerd als:</t>
  </si>
  <si>
    <t>Resultaat</t>
  </si>
  <si>
    <r>
      <t>Eis in kWh/m</t>
    </r>
    <r>
      <rPr>
        <vertAlign val="superscript"/>
        <sz val="10"/>
        <color theme="1"/>
        <rFont val="Trebuchet MS"/>
        <family val="2"/>
      </rPr>
      <t>2.</t>
    </r>
    <r>
      <rPr>
        <sz val="10"/>
        <color theme="1"/>
        <rFont val="Trebuchet MS"/>
        <family val="2"/>
      </rPr>
      <t>jr</t>
    </r>
  </si>
  <si>
    <t xml:space="preserve">Onder het kopje algemene invoer wordt om een aantal algemene gegevens gevraagd die nodig zijn voor de vergunningsverlener. De witte velden zijn invoervelden. </t>
  </si>
  <si>
    <t xml:space="preserve">Ook als de systemen zich op verschillende dakvlakken bevinden, kunnen deze systemen voor de overzichtlijkheid apart ingevoerd worden. </t>
  </si>
  <si>
    <t>[kWh/m2/jaar]</t>
  </si>
  <si>
    <r>
      <t>kWh/m</t>
    </r>
    <r>
      <rPr>
        <vertAlign val="superscript"/>
        <sz val="10"/>
        <rFont val="Trebuchet MS"/>
        <family val="2"/>
      </rPr>
      <t>2.</t>
    </r>
    <r>
      <rPr>
        <sz val="10"/>
        <rFont val="Trebuchet MS"/>
        <family val="2"/>
      </rPr>
      <t>jr</t>
    </r>
  </si>
  <si>
    <t xml:space="preserve">Resultaat - Opbrengst ingevoerde systemen </t>
  </si>
  <si>
    <t>Het opgetelde resultaat van ieder ingevoerd systeem wordt weergegeven.</t>
  </si>
  <si>
    <t>kWh/m2/jr</t>
  </si>
  <si>
    <t>Achtergrond</t>
  </si>
  <si>
    <t>NTA 8800, eis</t>
  </si>
  <si>
    <t xml:space="preserve">Hoewel de rekentool met de grootst mogelijke zorg is samengesteld, kan RVO geen enkele aansprakelijkheid aanvaarden voor schade als gevolg van eventuele onjuistheden in het instrument of onjuiste uitvoering of gebruik van het instrument. </t>
  </si>
  <si>
    <t xml:space="preserve">Instructie </t>
  </si>
  <si>
    <t>bv de locatie, kwaliteitsverklaring of omschrijving</t>
  </si>
  <si>
    <t>vul hier de naam of omschrijving van systeem 1 in</t>
  </si>
  <si>
    <t>Onder welke hoek liggen de panelen ? (0°= hor,90°= vert)</t>
  </si>
  <si>
    <r>
      <t>Eis = minimaal 30 x (A</t>
    </r>
    <r>
      <rPr>
        <i/>
        <vertAlign val="subscript"/>
        <sz val="10"/>
        <color theme="0" tint="-0.499984740745262"/>
        <rFont val="Trebuchet MS"/>
        <family val="2"/>
      </rPr>
      <t>roof</t>
    </r>
    <r>
      <rPr>
        <i/>
        <sz val="10"/>
        <color theme="0" tint="-0.499984740745262"/>
        <rFont val="Trebuchet MS"/>
        <family val="2"/>
      </rPr>
      <t xml:space="preserve"> / A</t>
    </r>
    <r>
      <rPr>
        <i/>
        <vertAlign val="subscript"/>
        <sz val="10"/>
        <color theme="0" tint="-0.499984740745262"/>
        <rFont val="Trebuchet MS"/>
        <family val="2"/>
      </rPr>
      <t>g;tot</t>
    </r>
    <r>
      <rPr>
        <i/>
        <sz val="10"/>
        <color theme="0" tint="-0.499984740745262"/>
        <rFont val="Trebuchet MS"/>
        <family val="2"/>
      </rPr>
      <t>) kWh/m</t>
    </r>
    <r>
      <rPr>
        <i/>
        <vertAlign val="superscript"/>
        <sz val="10"/>
        <color theme="0" tint="-0.499984740745262"/>
        <rFont val="Trebuchet MS"/>
        <family val="2"/>
      </rPr>
      <t>2.</t>
    </r>
    <r>
      <rPr>
        <i/>
        <sz val="10"/>
        <color theme="0" tint="-0.499984740745262"/>
        <rFont val="Trebuchet MS"/>
        <family val="2"/>
      </rPr>
      <t>jr , waarbij (A</t>
    </r>
    <r>
      <rPr>
        <i/>
        <vertAlign val="subscript"/>
        <sz val="10"/>
        <color theme="0" tint="-0.499984740745262"/>
        <rFont val="Trebuchet MS"/>
        <family val="2"/>
      </rPr>
      <t>roof</t>
    </r>
    <r>
      <rPr>
        <i/>
        <sz val="10"/>
        <color theme="0" tint="-0.499984740745262"/>
        <rFont val="Trebuchet MS"/>
        <family val="2"/>
      </rPr>
      <t xml:space="preserve"> / A</t>
    </r>
    <r>
      <rPr>
        <i/>
        <vertAlign val="subscript"/>
        <sz val="10"/>
        <color theme="0" tint="-0.499984740745262"/>
        <rFont val="Trebuchet MS"/>
        <family val="2"/>
      </rPr>
      <t>g;tot</t>
    </r>
    <r>
      <rPr>
        <i/>
        <sz val="10"/>
        <color theme="0" tint="-0.499984740745262"/>
        <rFont val="Trebuchet MS"/>
        <family val="2"/>
      </rPr>
      <t>) ten hoogste 1,0 is</t>
    </r>
  </si>
  <si>
    <r>
      <t xml:space="preserve">Nadere objectomschrijving of toelichting 
</t>
    </r>
    <r>
      <rPr>
        <i/>
        <sz val="10"/>
        <color theme="1"/>
        <rFont val="Trebuchet MS"/>
        <family val="2"/>
      </rPr>
      <t>(indien van toepassing)</t>
    </r>
  </si>
  <si>
    <r>
      <t xml:space="preserve">Dossiernummer </t>
    </r>
    <r>
      <rPr>
        <i/>
        <sz val="10"/>
        <color theme="1"/>
        <rFont val="Trebuchet MS"/>
        <family val="2"/>
      </rPr>
      <t>(indien van toepassing)</t>
    </r>
  </si>
  <si>
    <r>
      <t xml:space="preserve">Bedrijf aanvrager </t>
    </r>
    <r>
      <rPr>
        <i/>
        <sz val="10"/>
        <color theme="1"/>
        <rFont val="Trebuchet MS"/>
        <family val="2"/>
      </rPr>
      <t>(indien van toepassing)</t>
    </r>
  </si>
  <si>
    <r>
      <t>Gebruiksoppervlak (situatie na renovatie) (A</t>
    </r>
    <r>
      <rPr>
        <vertAlign val="subscript"/>
        <sz val="10"/>
        <color theme="1"/>
        <rFont val="Trebuchet MS"/>
        <family val="2"/>
      </rPr>
      <t>g;tot</t>
    </r>
    <r>
      <rPr>
        <sz val="10"/>
        <color theme="1"/>
        <rFont val="Trebuchet MS"/>
        <family val="2"/>
      </rPr>
      <t>)</t>
    </r>
  </si>
  <si>
    <r>
      <t>Dakoppervlak (situatie na renovatie) zonder ramen  (A</t>
    </r>
    <r>
      <rPr>
        <vertAlign val="subscript"/>
        <sz val="10"/>
        <color theme="1"/>
        <rFont val="Trebuchet MS"/>
        <family val="2"/>
      </rPr>
      <t>roof</t>
    </r>
    <r>
      <rPr>
        <sz val="10"/>
        <color theme="1"/>
        <rFont val="Trebuchet MS"/>
        <family val="2"/>
      </rPr>
      <t>)</t>
    </r>
  </si>
  <si>
    <r>
      <rPr>
        <b/>
        <i/>
        <sz val="16"/>
        <color theme="1"/>
        <rFont val="Trebuchet MS"/>
        <family val="2"/>
      </rPr>
      <t>Rekentool</t>
    </r>
    <r>
      <rPr>
        <sz val="16"/>
        <color theme="1"/>
        <rFont val="Trebuchet MS"/>
        <family val="2"/>
      </rPr>
      <t xml:space="preserve"> </t>
    </r>
  </si>
  <si>
    <t>Hernieuwbare energie met PV bij ingrijpende renovatie</t>
  </si>
  <si>
    <t>afdrukken</t>
  </si>
  <si>
    <r>
      <t>Vul hier het aantal panelen in. Ga uit van 1,6 m</t>
    </r>
    <r>
      <rPr>
        <vertAlign val="superscript"/>
        <sz val="10"/>
        <color theme="1"/>
        <rFont val="Trebuchet MS"/>
        <family val="2"/>
      </rPr>
      <t>2</t>
    </r>
    <r>
      <rPr>
        <sz val="10"/>
        <color theme="1"/>
        <rFont val="Trebuchet MS"/>
        <family val="2"/>
      </rPr>
      <t xml:space="preserve"> per paneel. Maak een omrekening bij afwijkende maten. </t>
    </r>
  </si>
  <si>
    <r>
      <t>Aantal m</t>
    </r>
    <r>
      <rPr>
        <vertAlign val="superscript"/>
        <sz val="10"/>
        <color theme="1"/>
        <rFont val="Trebuchet MS"/>
        <family val="2"/>
      </rPr>
      <t>2</t>
    </r>
    <r>
      <rPr>
        <sz val="10"/>
        <color theme="1"/>
        <rFont val="Trebuchet MS"/>
        <family val="2"/>
      </rPr>
      <t xml:space="preserve"> paneel</t>
    </r>
  </si>
  <si>
    <r>
      <t xml:space="preserve">                                                                                   *Uitgangspunt is een afmeting van 1,6 m</t>
    </r>
    <r>
      <rPr>
        <vertAlign val="superscript"/>
        <sz val="11"/>
        <color theme="1"/>
        <rFont val="Calibri"/>
        <family val="2"/>
        <scheme val="minor"/>
      </rPr>
      <t>2</t>
    </r>
    <r>
      <rPr>
        <sz val="11"/>
        <color theme="1"/>
        <rFont val="Calibri"/>
        <family val="2"/>
        <scheme val="minor"/>
      </rPr>
      <t xml:space="preserve"> per paneel. </t>
    </r>
  </si>
  <si>
    <r>
      <t xml:space="preserve">                                                                                   Het wattpiekvermogen wordt naar beneden afgerond op een veelvoud van 5 W/m</t>
    </r>
    <r>
      <rPr>
        <vertAlign val="superscript"/>
        <sz val="11"/>
        <color theme="1"/>
        <rFont val="Calibri"/>
        <family val="2"/>
        <scheme val="minor"/>
      </rPr>
      <t>2</t>
    </r>
    <r>
      <rPr>
        <sz val="11"/>
        <color theme="1"/>
        <rFont val="Calibri"/>
        <family val="2"/>
        <scheme val="minor"/>
      </rPr>
      <t xml:space="preserve"> conform NTA 8800 paragraaf 16.2.2.2</t>
    </r>
  </si>
  <si>
    <t>Afdrukken</t>
  </si>
  <si>
    <t>Het betreft de contactgegevens van de aanvrager. Ook wordt gevraagd om de datum. Dit is de datum van invullen/aanvragen.</t>
  </si>
  <si>
    <t>vul hier de naam of omschrijving van systeem 7 in</t>
  </si>
  <si>
    <t>vul hier de naam of omschrijving van systeem 6 in</t>
  </si>
  <si>
    <t>vul hier de naam of omschrijving van systeem 5 in</t>
  </si>
  <si>
    <t>vul hier de naam of omschrijving van systeem 4 in</t>
  </si>
  <si>
    <t>vul hier de naam of omschrijving van systeem 3 in</t>
  </si>
  <si>
    <t>vul hier de naam of omschrijving van systeem 2 in</t>
  </si>
  <si>
    <t>Het dossiernummer is een niet verplicht veld, de gebruiker kan hier zelf een vrij te kiezen tekst opnemen</t>
  </si>
  <si>
    <t xml:space="preserve">De resultaten van de tool kunnen worden opgeslagen als PDF bestand. Deze kan worden gebruikt bij indiening. Er zijn een aantal manieren om af te drukken (pdf maken). </t>
  </si>
  <si>
    <r>
      <t xml:space="preserve">- Via opslaan als. Hiervoor gaat u in het tabblad PV_rekentool staan. Klik op </t>
    </r>
    <r>
      <rPr>
        <b/>
        <sz val="10"/>
        <color theme="1"/>
        <rFont val="Trebuchet MS"/>
        <family val="2"/>
      </rPr>
      <t>Bestand &gt; Opslaan als</t>
    </r>
    <r>
      <rPr>
        <sz val="10"/>
        <color theme="1"/>
        <rFont val="Trebuchet MS"/>
        <family val="2"/>
      </rPr>
      <t xml:space="preserve"> en kies de locatie waar u het bestand wilt opslaan. Kies in het dialoogvenster </t>
    </r>
    <r>
      <rPr>
        <b/>
        <sz val="10"/>
        <color theme="1"/>
        <rFont val="Trebuchet MS"/>
        <family val="2"/>
      </rPr>
      <t>Opslaan als</t>
    </r>
    <r>
      <rPr>
        <sz val="10"/>
        <color theme="1"/>
        <rFont val="Trebuchet MS"/>
        <family val="2"/>
      </rPr>
      <t xml:space="preserve"> de optie </t>
    </r>
    <r>
      <rPr>
        <b/>
        <sz val="10"/>
        <color theme="1"/>
        <rFont val="Trebuchet MS"/>
        <family val="2"/>
      </rPr>
      <t xml:space="preserve">PDF </t>
    </r>
    <r>
      <rPr>
        <sz val="10"/>
        <color theme="1"/>
        <rFont val="Trebuchet MS"/>
        <family val="2"/>
      </rPr>
      <t xml:space="preserve">in de lijst Opslaan als. Kies een logische naam voor het bestand.             </t>
    </r>
  </si>
  <si>
    <r>
      <t xml:space="preserve">- Een andere mogelijkheid is om het menu afdrukken te gebruiken. Zorg dat u in het tabblad PV_rekentool gaat staan. Klik op </t>
    </r>
    <r>
      <rPr>
        <b/>
        <sz val="10"/>
        <color theme="1"/>
        <rFont val="Trebuchet MS"/>
        <family val="2"/>
      </rPr>
      <t>Bestand &gt; Afdrukken</t>
    </r>
    <r>
      <rPr>
        <sz val="10"/>
        <color theme="1"/>
        <rFont val="Trebuchet MS"/>
        <family val="2"/>
      </rPr>
      <t xml:space="preserve"> en kies bij de printer </t>
    </r>
    <r>
      <rPr>
        <b/>
        <sz val="10"/>
        <color theme="1"/>
        <rFont val="Trebuchet MS"/>
        <family val="2"/>
      </rPr>
      <t>Microsoft printer to pdf</t>
    </r>
    <r>
      <rPr>
        <sz val="10"/>
        <color theme="1"/>
        <rFont val="Trebuchet MS"/>
        <family val="2"/>
      </rPr>
      <t xml:space="preserve"> en klik vervolgens op het icoontje van de printer om de pdf af te drukken en op te slaan op de gewenste locatie. Kies een logische naam voor het bestand. Met de sneltoetscombinatie</t>
    </r>
    <r>
      <rPr>
        <b/>
        <sz val="10"/>
        <color theme="1"/>
        <rFont val="Trebuchet MS"/>
        <family val="2"/>
      </rPr>
      <t xml:space="preserve"> CTRL + P </t>
    </r>
    <r>
      <rPr>
        <sz val="10"/>
        <color theme="1"/>
        <rFont val="Trebuchet MS"/>
        <family val="2"/>
      </rPr>
      <t xml:space="preserve">kan ook het afdrukmenu worden geactiveerd en kunnen deze stappen worden doorlopen.                </t>
    </r>
  </si>
  <si>
    <t xml:space="preserve">Het resultaat is een pdf-bestand met de invoer en de resultaten van de berekening. </t>
  </si>
  <si>
    <t>Versie 1.0 - d.d. 05 november 2021</t>
  </si>
  <si>
    <t xml:space="preserve">De berekeningen in deze tool zijn gebaseerd op de NTA 8800:2024 nl. </t>
  </si>
  <si>
    <t>Voor meer informatie zie: https://www.nen.nl/</t>
  </si>
  <si>
    <t>versie: 2.0 - 28 december 2023</t>
  </si>
  <si>
    <t>Versie 2.0 - d.d. 28 december 2023 - conform NTA 8800;2024 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</si>
</sst>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413]d\ mmmm\ yyyy;@"/>
  </numFmts>
  <fonts count="41" x14ac:knownFonts="1">
    <font>
      <sz val="11"/>
      <color theme="1"/>
      <name val="Calibri"/>
      <family val="2"/>
      <scheme val="minor"/>
    </font>
    <font>
      <b/>
      <sz val="11"/>
      <color theme="1"/>
      <name val="Calibri"/>
      <family val="2"/>
      <scheme val="minor"/>
    </font>
    <font>
      <sz val="11"/>
      <color theme="1"/>
      <name val="Calibri"/>
      <family val="2"/>
    </font>
    <font>
      <sz val="8"/>
      <name val="Calibri"/>
      <family val="2"/>
      <scheme val="minor"/>
    </font>
    <font>
      <vertAlign val="superscript"/>
      <sz val="11"/>
      <color theme="1"/>
      <name val="Calibri"/>
      <family val="2"/>
      <scheme val="minor"/>
    </font>
    <font>
      <b/>
      <vertAlign val="superscript"/>
      <sz val="11"/>
      <color theme="1"/>
      <name val="Calibri"/>
      <family val="2"/>
      <scheme val="minor"/>
    </font>
    <font>
      <sz val="11"/>
      <color theme="0" tint="-0.499984740745262"/>
      <name val="Calibri"/>
      <family val="2"/>
      <scheme val="minor"/>
    </font>
    <font>
      <b/>
      <sz val="11"/>
      <name val="Calibri"/>
      <family val="2"/>
      <scheme val="minor"/>
    </font>
    <font>
      <sz val="22"/>
      <color theme="1"/>
      <name val="Trebuchet MS"/>
      <family val="2"/>
    </font>
    <font>
      <sz val="11"/>
      <color theme="1"/>
      <name val="Trebuchet MS"/>
      <family val="2"/>
    </font>
    <font>
      <sz val="11"/>
      <color theme="0" tint="-0.14999847407452621"/>
      <name val="Trebuchet MS"/>
      <family val="2"/>
    </font>
    <font>
      <b/>
      <sz val="11"/>
      <color theme="1"/>
      <name val="Trebuchet MS"/>
      <family val="2"/>
    </font>
    <font>
      <sz val="14"/>
      <color theme="1"/>
      <name val="Trebuchet MS"/>
      <family val="2"/>
    </font>
    <font>
      <b/>
      <sz val="10"/>
      <color theme="1"/>
      <name val="Trebuchet MS"/>
      <family val="2"/>
    </font>
    <font>
      <sz val="10"/>
      <color theme="1"/>
      <name val="Trebuchet MS"/>
      <family val="2"/>
    </font>
    <font>
      <sz val="10"/>
      <name val="Trebuchet MS"/>
      <family val="2"/>
    </font>
    <font>
      <i/>
      <sz val="10"/>
      <color theme="1"/>
      <name val="Trebuchet MS"/>
      <family val="2"/>
    </font>
    <font>
      <b/>
      <i/>
      <sz val="22"/>
      <color theme="1"/>
      <name val="Trebuchet MS"/>
      <family val="2"/>
    </font>
    <font>
      <i/>
      <sz val="10"/>
      <color theme="0" tint="-0.499984740745262"/>
      <name val="Trebuchet MS"/>
      <family val="2"/>
    </font>
    <font>
      <vertAlign val="subscript"/>
      <sz val="10"/>
      <color theme="1"/>
      <name val="Trebuchet MS"/>
      <family val="2"/>
    </font>
    <font>
      <vertAlign val="superscript"/>
      <sz val="10"/>
      <color theme="1"/>
      <name val="Trebuchet MS"/>
      <family val="2"/>
    </font>
    <font>
      <sz val="10"/>
      <color theme="0" tint="-0.499984740745262"/>
      <name val="Trebuchet MS"/>
      <family val="2"/>
    </font>
    <font>
      <vertAlign val="superscript"/>
      <sz val="10"/>
      <color theme="0" tint="-0.499984740745262"/>
      <name val="Trebuchet MS"/>
      <family val="2"/>
    </font>
    <font>
      <sz val="11"/>
      <color rgb="FFFF0000"/>
      <name val="Trebuchet MS"/>
      <family val="2"/>
    </font>
    <font>
      <b/>
      <sz val="11"/>
      <color rgb="FFFF0000"/>
      <name val="Trebuchet MS"/>
      <family val="2"/>
    </font>
    <font>
      <u/>
      <sz val="11"/>
      <color theme="10"/>
      <name val="Calibri"/>
      <family val="2"/>
      <scheme val="minor"/>
    </font>
    <font>
      <b/>
      <sz val="10"/>
      <color theme="0" tint="-0.499984740745262"/>
      <name val="Trebuchet MS"/>
      <family val="2"/>
    </font>
    <font>
      <sz val="10"/>
      <color rgb="FFFF0000"/>
      <name val="Trebuchet MS"/>
      <family val="2"/>
    </font>
    <font>
      <sz val="7.7"/>
      <color theme="1"/>
      <name val="Calibri"/>
      <family val="2"/>
    </font>
    <font>
      <b/>
      <i/>
      <sz val="10"/>
      <color theme="1"/>
      <name val="Trebuchet MS"/>
      <family val="2"/>
    </font>
    <font>
      <b/>
      <u/>
      <sz val="10"/>
      <color theme="1"/>
      <name val="Trebuchet MS"/>
      <family val="2"/>
    </font>
    <font>
      <vertAlign val="superscript"/>
      <sz val="10"/>
      <name val="Trebuchet MS"/>
      <family val="2"/>
    </font>
    <font>
      <sz val="8"/>
      <name val="Trebuchet MS"/>
      <family val="2"/>
    </font>
    <font>
      <u/>
      <sz val="10"/>
      <color theme="10"/>
      <name val="Trebuchet MS"/>
      <family val="2"/>
    </font>
    <font>
      <b/>
      <sz val="18"/>
      <color theme="1"/>
      <name val="Trebuchet MS"/>
      <family val="2"/>
    </font>
    <font>
      <sz val="16"/>
      <color theme="1"/>
      <name val="Trebuchet MS"/>
      <family val="2"/>
    </font>
    <font>
      <b/>
      <i/>
      <sz val="16"/>
      <color theme="1"/>
      <name val="Trebuchet MS"/>
      <family val="2"/>
    </font>
    <font>
      <i/>
      <vertAlign val="subscript"/>
      <sz val="10"/>
      <color theme="0" tint="-0.499984740745262"/>
      <name val="Trebuchet MS"/>
      <family val="2"/>
    </font>
    <font>
      <i/>
      <vertAlign val="superscript"/>
      <sz val="10"/>
      <color theme="0" tint="-0.499984740745262"/>
      <name val="Trebuchet MS"/>
      <family val="2"/>
    </font>
    <font>
      <i/>
      <sz val="14"/>
      <color theme="1"/>
      <name val="Trebuchet MS"/>
      <family val="2"/>
    </font>
    <font>
      <i/>
      <sz val="8"/>
      <color theme="1"/>
      <name val="Trebuchet MS"/>
      <family val="2"/>
    </font>
  </fonts>
  <fills count="1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E8EBF0"/>
        <bgColor indexed="64"/>
      </patternFill>
    </fill>
    <fill>
      <patternFill patternType="solid">
        <fgColor rgb="FFD6DCE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right/>
      <top style="hair">
        <color indexed="64"/>
      </top>
      <bottom/>
      <diagonal/>
    </border>
  </borders>
  <cellStyleXfs count="2">
    <xf numFmtId="0" fontId="0" fillId="0" borderId="0"/>
    <xf numFmtId="0" fontId="25" fillId="0" borderId="0" applyNumberFormat="0" applyFill="0" applyBorder="0" applyAlignment="0" applyProtection="0"/>
  </cellStyleXfs>
  <cellXfs count="184">
    <xf numFmtId="0" fontId="0" fillId="0" borderId="0" xfId="0"/>
    <xf numFmtId="0" fontId="1" fillId="0" borderId="0" xfId="0" applyFont="1"/>
    <xf numFmtId="0" fontId="0" fillId="2" borderId="0" xfId="0" applyFill="1"/>
    <xf numFmtId="0" fontId="0" fillId="3" borderId="0" xfId="0" applyFill="1"/>
    <xf numFmtId="0" fontId="0" fillId="0" borderId="1" xfId="0" applyBorder="1"/>
    <xf numFmtId="0" fontId="0" fillId="0" borderId="1" xfId="0" applyBorder="1" applyAlignment="1">
      <alignment wrapText="1"/>
    </xf>
    <xf numFmtId="2" fontId="0" fillId="0" borderId="1" xfId="0" applyNumberFormat="1" applyBorder="1"/>
    <xf numFmtId="2" fontId="2" fillId="0" borderId="1" xfId="0" applyNumberFormat="1" applyFont="1" applyBorder="1"/>
    <xf numFmtId="0" fontId="0" fillId="0" borderId="0" xfId="0" applyAlignment="1"/>
    <xf numFmtId="0" fontId="0" fillId="0" borderId="0" xfId="0" quotePrefix="1"/>
    <xf numFmtId="0" fontId="0" fillId="0" borderId="0" xfId="0" applyBorder="1"/>
    <xf numFmtId="49" fontId="0" fillId="0" borderId="0" xfId="0" applyNumberFormat="1"/>
    <xf numFmtId="0" fontId="1" fillId="0" borderId="1" xfId="0" applyFont="1" applyBorder="1"/>
    <xf numFmtId="0" fontId="1" fillId="0" borderId="0" xfId="0" applyFont="1" applyBorder="1"/>
    <xf numFmtId="0" fontId="0" fillId="5" borderId="0" xfId="0" applyFill="1"/>
    <xf numFmtId="2" fontId="0" fillId="0" borderId="0" xfId="0" applyNumberFormat="1"/>
    <xf numFmtId="2" fontId="0" fillId="5" borderId="0" xfId="0" applyNumberFormat="1" applyFill="1"/>
    <xf numFmtId="0" fontId="0" fillId="0" borderId="0" xfId="0" applyFont="1"/>
    <xf numFmtId="0" fontId="0" fillId="7" borderId="0" xfId="0" applyFill="1"/>
    <xf numFmtId="2" fontId="0" fillId="0" borderId="0" xfId="0" applyNumberFormat="1" applyFill="1"/>
    <xf numFmtId="0" fontId="0" fillId="0" borderId="5" xfId="0" applyBorder="1"/>
    <xf numFmtId="0" fontId="0" fillId="4" borderId="6" xfId="0" applyFill="1" applyBorder="1"/>
    <xf numFmtId="0" fontId="0" fillId="0" borderId="7" xfId="0" applyBorder="1"/>
    <xf numFmtId="0" fontId="0" fillId="8" borderId="8" xfId="0" applyFill="1" applyBorder="1"/>
    <xf numFmtId="0" fontId="0" fillId="4" borderId="8" xfId="0" applyFill="1" applyBorder="1"/>
    <xf numFmtId="0" fontId="0" fillId="0" borderId="9" xfId="0" applyBorder="1"/>
    <xf numFmtId="0" fontId="0" fillId="4" borderId="10" xfId="0" applyFill="1" applyBorder="1"/>
    <xf numFmtId="0" fontId="6" fillId="0" borderId="0" xfId="0" applyFont="1"/>
    <xf numFmtId="164" fontId="0" fillId="0" borderId="0" xfId="0" applyNumberFormat="1" applyFill="1"/>
    <xf numFmtId="0" fontId="7" fillId="6" borderId="0" xfId="0" applyFont="1" applyFill="1"/>
    <xf numFmtId="0" fontId="0" fillId="0" borderId="12" xfId="0" applyBorder="1" applyAlignment="1">
      <alignment horizontal="left"/>
    </xf>
    <xf numFmtId="0" fontId="0" fillId="0" borderId="1"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2"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10" borderId="0" xfId="0" applyFill="1"/>
    <xf numFmtId="0" fontId="1" fillId="10" borderId="0" xfId="0" applyFont="1" applyFill="1"/>
    <xf numFmtId="0" fontId="0" fillId="10" borderId="0" xfId="0" applyFill="1" applyBorder="1"/>
    <xf numFmtId="0" fontId="0" fillId="10" borderId="5" xfId="0" applyFill="1" applyBorder="1"/>
    <xf numFmtId="0" fontId="0" fillId="10" borderId="12" xfId="0" applyFill="1" applyBorder="1"/>
    <xf numFmtId="0" fontId="1" fillId="10" borderId="12" xfId="0" applyFont="1" applyFill="1" applyBorder="1"/>
    <xf numFmtId="0" fontId="0" fillId="10" borderId="6" xfId="0" applyFill="1" applyBorder="1"/>
    <xf numFmtId="0" fontId="0" fillId="10" borderId="7" xfId="0" applyFill="1" applyBorder="1"/>
    <xf numFmtId="0" fontId="0" fillId="10" borderId="1" xfId="0" applyFill="1" applyBorder="1"/>
    <xf numFmtId="0" fontId="1" fillId="10" borderId="1" xfId="0" applyFont="1" applyFill="1" applyBorder="1"/>
    <xf numFmtId="0" fontId="0" fillId="10" borderId="8" xfId="0" applyFill="1" applyBorder="1"/>
    <xf numFmtId="0" fontId="0" fillId="10" borderId="9" xfId="0" applyFill="1" applyBorder="1"/>
    <xf numFmtId="0" fontId="0" fillId="10" borderId="13" xfId="0" applyFill="1" applyBorder="1"/>
    <xf numFmtId="0" fontId="1" fillId="10" borderId="13" xfId="0" applyFont="1" applyFill="1" applyBorder="1"/>
    <xf numFmtId="0" fontId="0" fillId="10" borderId="10" xfId="0" applyFill="1" applyBorder="1"/>
    <xf numFmtId="0" fontId="0" fillId="4" borderId="6" xfId="0" applyFill="1" applyBorder="1" applyAlignment="1">
      <alignment horizontal="center"/>
    </xf>
    <xf numFmtId="0" fontId="0" fillId="8" borderId="8" xfId="0" applyFill="1" applyBorder="1" applyAlignment="1">
      <alignment horizontal="center"/>
    </xf>
    <xf numFmtId="0" fontId="0" fillId="4" borderId="8" xfId="0" applyFill="1" applyBorder="1" applyAlignment="1">
      <alignment horizontal="center"/>
    </xf>
    <xf numFmtId="0" fontId="0" fillId="4" borderId="10" xfId="0" applyFill="1" applyBorder="1" applyAlignment="1">
      <alignment horizontal="center"/>
    </xf>
    <xf numFmtId="0" fontId="0" fillId="5" borderId="0" xfId="0" applyNumberFormat="1" applyFill="1"/>
    <xf numFmtId="1" fontId="0" fillId="5" borderId="0" xfId="0" applyNumberFormat="1" applyFill="1"/>
    <xf numFmtId="164" fontId="0" fillId="5" borderId="0" xfId="0" quotePrefix="1" applyNumberFormat="1" applyFill="1"/>
    <xf numFmtId="0" fontId="0" fillId="11" borderId="0" xfId="0" applyFill="1"/>
    <xf numFmtId="0" fontId="8" fillId="11" borderId="0" xfId="0" applyFont="1" applyFill="1" applyAlignment="1">
      <alignment horizontal="left"/>
    </xf>
    <xf numFmtId="0" fontId="9" fillId="11" borderId="0" xfId="0" applyFont="1" applyFill="1"/>
    <xf numFmtId="0" fontId="9" fillId="9" borderId="0" xfId="0" applyFont="1" applyFill="1"/>
    <xf numFmtId="0" fontId="9" fillId="0" borderId="0" xfId="0" applyFont="1"/>
    <xf numFmtId="0" fontId="11" fillId="11" borderId="0" xfId="0" applyFont="1" applyFill="1"/>
    <xf numFmtId="0" fontId="11" fillId="11" borderId="0" xfId="0" applyFont="1" applyFill="1" applyBorder="1"/>
    <xf numFmtId="0" fontId="9" fillId="11" borderId="0" xfId="0" applyFont="1" applyFill="1" applyAlignment="1">
      <alignment vertical="center"/>
    </xf>
    <xf numFmtId="0" fontId="9" fillId="9" borderId="0" xfId="0" applyFont="1" applyFill="1" applyAlignment="1">
      <alignment vertical="center"/>
    </xf>
    <xf numFmtId="0" fontId="9" fillId="0" borderId="0" xfId="0" applyFont="1" applyAlignment="1">
      <alignment vertical="center"/>
    </xf>
    <xf numFmtId="0" fontId="9" fillId="11" borderId="0" xfId="0" applyFont="1" applyFill="1" applyBorder="1"/>
    <xf numFmtId="0" fontId="9" fillId="11" borderId="0" xfId="0" applyFont="1" applyFill="1" applyBorder="1" applyAlignment="1">
      <alignment horizontal="left" wrapText="1"/>
    </xf>
    <xf numFmtId="0" fontId="9" fillId="11" borderId="0" xfId="0" applyFont="1" applyFill="1" applyBorder="1" applyAlignment="1">
      <alignment horizontal="right"/>
    </xf>
    <xf numFmtId="0" fontId="16" fillId="11" borderId="0" xfId="0" applyFont="1" applyFill="1" applyBorder="1"/>
    <xf numFmtId="0" fontId="14" fillId="12" borderId="0" xfId="0" applyFont="1" applyFill="1" applyBorder="1"/>
    <xf numFmtId="0" fontId="14" fillId="11" borderId="0" xfId="0" applyFont="1" applyFill="1" applyBorder="1"/>
    <xf numFmtId="0" fontId="13" fillId="11" borderId="0" xfId="0" applyFont="1" applyFill="1" applyBorder="1"/>
    <xf numFmtId="0" fontId="8" fillId="11" borderId="0" xfId="0" applyFont="1" applyFill="1" applyBorder="1" applyAlignment="1">
      <alignment horizontal="left"/>
    </xf>
    <xf numFmtId="0" fontId="14" fillId="12" borderId="11" xfId="0" applyFont="1" applyFill="1" applyBorder="1"/>
    <xf numFmtId="0" fontId="14" fillId="12" borderId="20" xfId="0" applyFont="1" applyFill="1" applyBorder="1"/>
    <xf numFmtId="0" fontId="14" fillId="12" borderId="19" xfId="0" applyFont="1" applyFill="1" applyBorder="1"/>
    <xf numFmtId="0" fontId="14" fillId="12" borderId="11" xfId="0" applyFont="1" applyFill="1" applyBorder="1" applyAlignment="1">
      <alignment horizontal="right"/>
    </xf>
    <xf numFmtId="0" fontId="13" fillId="12" borderId="20" xfId="0" applyFont="1" applyFill="1" applyBorder="1" applyAlignment="1">
      <alignment horizontal="right"/>
    </xf>
    <xf numFmtId="0" fontId="14" fillId="12" borderId="0" xfId="0" applyFont="1" applyFill="1" applyBorder="1" applyAlignment="1">
      <alignment vertical="center"/>
    </xf>
    <xf numFmtId="0" fontId="13" fillId="12" borderId="20" xfId="0" applyFont="1" applyFill="1" applyBorder="1"/>
    <xf numFmtId="0" fontId="21" fillId="12" borderId="11" xfId="0" applyFont="1" applyFill="1" applyBorder="1" applyAlignment="1">
      <alignment horizontal="right"/>
    </xf>
    <xf numFmtId="0" fontId="14" fillId="12" borderId="20" xfId="0" applyFont="1" applyFill="1" applyBorder="1" applyAlignment="1">
      <alignment horizontal="left" wrapText="1"/>
    </xf>
    <xf numFmtId="0" fontId="13" fillId="12" borderId="0" xfId="0" applyFont="1" applyFill="1" applyBorder="1" applyAlignment="1">
      <alignment horizontal="right"/>
    </xf>
    <xf numFmtId="0" fontId="14" fillId="12" borderId="0" xfId="0" applyFont="1" applyFill="1" applyBorder="1" applyAlignment="1"/>
    <xf numFmtId="0" fontId="21" fillId="12" borderId="0" xfId="0" applyFont="1" applyFill="1" applyBorder="1" applyAlignment="1"/>
    <xf numFmtId="0" fontId="21" fillId="12" borderId="0" xfId="0" applyFont="1" applyFill="1" applyBorder="1" applyAlignment="1">
      <alignment horizontal="left"/>
    </xf>
    <xf numFmtId="0" fontId="21" fillId="12" borderId="0" xfId="0" applyFont="1" applyFill="1" applyBorder="1"/>
    <xf numFmtId="0" fontId="21" fillId="12" borderId="20" xfId="0" applyFont="1" applyFill="1" applyBorder="1" applyAlignment="1">
      <alignment horizontal="right"/>
    </xf>
    <xf numFmtId="0" fontId="21" fillId="12" borderId="20" xfId="0" quotePrefix="1" applyFont="1" applyFill="1" applyBorder="1" applyAlignment="1">
      <alignment horizontal="right"/>
    </xf>
    <xf numFmtId="0" fontId="13" fillId="12" borderId="0" xfId="0" applyFont="1" applyFill="1" applyBorder="1" applyAlignment="1">
      <alignment horizontal="right"/>
    </xf>
    <xf numFmtId="0" fontId="23" fillId="11" borderId="0" xfId="0" applyFont="1" applyFill="1" applyBorder="1"/>
    <xf numFmtId="0" fontId="23" fillId="11" borderId="0" xfId="0" applyFont="1" applyFill="1" applyBorder="1" applyAlignment="1">
      <alignment vertical="center"/>
    </xf>
    <xf numFmtId="0" fontId="9" fillId="11" borderId="0" xfId="0" applyFont="1" applyFill="1" applyBorder="1" applyAlignment="1">
      <alignment vertical="center"/>
    </xf>
    <xf numFmtId="0" fontId="10" fillId="11" borderId="0" xfId="0" applyFont="1" applyFill="1" applyBorder="1"/>
    <xf numFmtId="0" fontId="24" fillId="11" borderId="0" xfId="0" applyFont="1" applyFill="1" applyBorder="1"/>
    <xf numFmtId="0" fontId="13" fillId="12" borderId="11" xfId="0" applyFont="1" applyFill="1" applyBorder="1" applyAlignment="1">
      <alignment horizontal="right"/>
    </xf>
    <xf numFmtId="0" fontId="13" fillId="12" borderId="11" xfId="0" applyFont="1" applyFill="1" applyBorder="1"/>
    <xf numFmtId="0" fontId="12" fillId="11" borderId="0" xfId="0" applyFont="1" applyFill="1" applyBorder="1" applyAlignment="1">
      <alignment horizontal="center"/>
    </xf>
    <xf numFmtId="0" fontId="9" fillId="11" borderId="0" xfId="0" applyFont="1" applyFill="1" applyBorder="1" applyAlignment="1">
      <alignment horizontal="left"/>
    </xf>
    <xf numFmtId="2" fontId="14" fillId="12" borderId="11" xfId="0" applyNumberFormat="1" applyFont="1" applyFill="1" applyBorder="1"/>
    <xf numFmtId="0" fontId="26" fillId="12" borderId="0" xfId="0" applyFont="1" applyFill="1" applyBorder="1" applyAlignment="1">
      <alignment horizontal="right"/>
    </xf>
    <xf numFmtId="0" fontId="26" fillId="12" borderId="20" xfId="0" applyFont="1" applyFill="1" applyBorder="1"/>
    <xf numFmtId="0" fontId="0" fillId="0" borderId="0" xfId="0" applyAlignment="1">
      <alignment horizontal="right"/>
    </xf>
    <xf numFmtId="0" fontId="11" fillId="11" borderId="0" xfId="0" applyFont="1" applyFill="1" applyBorder="1" applyAlignment="1">
      <alignment horizontal="right"/>
    </xf>
    <xf numFmtId="0" fontId="9" fillId="13" borderId="0" xfId="0" applyFont="1" applyFill="1"/>
    <xf numFmtId="0" fontId="0" fillId="0" borderId="0" xfId="0" applyFill="1" applyAlignment="1">
      <alignment horizontal="right"/>
    </xf>
    <xf numFmtId="0" fontId="0" fillId="0" borderId="0" xfId="0" applyFill="1"/>
    <xf numFmtId="0" fontId="6" fillId="0" borderId="0" xfId="0" applyFont="1" applyFill="1"/>
    <xf numFmtId="0" fontId="0" fillId="0" borderId="1" xfId="0" applyFill="1" applyBorder="1"/>
    <xf numFmtId="0" fontId="14" fillId="11" borderId="0" xfId="0" applyFont="1" applyFill="1"/>
    <xf numFmtId="0" fontId="13" fillId="11" borderId="0" xfId="0" applyFont="1" applyFill="1"/>
    <xf numFmtId="0" fontId="14" fillId="12" borderId="0" xfId="0" applyFont="1" applyFill="1"/>
    <xf numFmtId="0" fontId="14" fillId="12" borderId="0" xfId="0" quotePrefix="1" applyFont="1" applyFill="1"/>
    <xf numFmtId="0" fontId="14" fillId="11" borderId="0" xfId="0" quotePrefix="1" applyFont="1" applyFill="1"/>
    <xf numFmtId="0" fontId="13" fillId="12" borderId="0" xfId="0" applyFont="1" applyFill="1"/>
    <xf numFmtId="0" fontId="29" fillId="11" borderId="0" xfId="0" applyFont="1" applyFill="1"/>
    <xf numFmtId="0" fontId="15" fillId="12" borderId="0" xfId="0" applyFont="1" applyFill="1" applyBorder="1" applyAlignment="1">
      <alignment wrapText="1"/>
    </xf>
    <xf numFmtId="0" fontId="27" fillId="12" borderId="0" xfId="0" applyFont="1" applyFill="1"/>
    <xf numFmtId="4" fontId="14" fillId="12" borderId="19" xfId="0" applyNumberFormat="1" applyFont="1" applyFill="1" applyBorder="1" applyAlignment="1">
      <alignment horizontal="right"/>
    </xf>
    <xf numFmtId="4" fontId="14" fillId="12" borderId="11" xfId="0" applyNumberFormat="1" applyFont="1" applyFill="1" applyBorder="1"/>
    <xf numFmtId="4" fontId="13" fillId="12" borderId="11" xfId="0" applyNumberFormat="1" applyFont="1" applyFill="1" applyBorder="1"/>
    <xf numFmtId="4" fontId="26" fillId="12" borderId="0" xfId="0" applyNumberFormat="1" applyFont="1" applyFill="1" applyBorder="1"/>
    <xf numFmtId="0" fontId="15" fillId="12" borderId="0" xfId="0" applyFont="1" applyFill="1" applyBorder="1" applyAlignment="1"/>
    <xf numFmtId="0" fontId="15" fillId="12" borderId="0" xfId="0" applyFont="1" applyFill="1" applyBorder="1"/>
    <xf numFmtId="2" fontId="14" fillId="12" borderId="20" xfId="0" applyNumberFormat="1" applyFont="1" applyFill="1" applyBorder="1" applyAlignment="1">
      <alignment horizontal="right"/>
    </xf>
    <xf numFmtId="2" fontId="14" fillId="12" borderId="20" xfId="0" applyNumberFormat="1" applyFont="1" applyFill="1" applyBorder="1"/>
    <xf numFmtId="0" fontId="14" fillId="12" borderId="19" xfId="0" applyFont="1" applyFill="1" applyBorder="1" applyAlignment="1">
      <alignment horizontal="right"/>
    </xf>
    <xf numFmtId="2" fontId="14" fillId="13" borderId="0" xfId="0" applyNumberFormat="1" applyFont="1" applyFill="1" applyBorder="1" applyAlignment="1">
      <alignment horizontal="center"/>
    </xf>
    <xf numFmtId="0" fontId="32" fillId="11" borderId="0" xfId="0" applyFont="1" applyFill="1" applyBorder="1"/>
    <xf numFmtId="0" fontId="9" fillId="9" borderId="19" xfId="0" applyFont="1" applyFill="1" applyBorder="1" applyAlignment="1" applyProtection="1">
      <alignment wrapText="1"/>
      <protection locked="0"/>
    </xf>
    <xf numFmtId="0" fontId="9" fillId="9" borderId="20" xfId="0" applyFont="1" applyFill="1" applyBorder="1" applyAlignment="1" applyProtection="1">
      <alignment wrapText="1"/>
      <protection locked="0"/>
    </xf>
    <xf numFmtId="0" fontId="14" fillId="9" borderId="19" xfId="0" applyFont="1" applyFill="1" applyBorder="1" applyAlignment="1" applyProtection="1">
      <alignment horizontal="right"/>
      <protection locked="0"/>
    </xf>
    <xf numFmtId="0" fontId="14" fillId="9" borderId="11" xfId="0" applyFont="1" applyFill="1" applyBorder="1" applyAlignment="1" applyProtection="1">
      <alignment horizontal="right"/>
      <protection locked="0"/>
    </xf>
    <xf numFmtId="0" fontId="18" fillId="9" borderId="19" xfId="0" applyFont="1" applyFill="1" applyBorder="1" applyAlignment="1" applyProtection="1">
      <alignment horizontal="right"/>
      <protection locked="0"/>
    </xf>
    <xf numFmtId="0" fontId="14" fillId="12" borderId="11" xfId="0" applyFont="1" applyFill="1" applyBorder="1" applyAlignment="1" applyProtection="1">
      <alignment horizontal="right"/>
      <protection locked="0"/>
    </xf>
    <xf numFmtId="0" fontId="14" fillId="9" borderId="20" xfId="0" applyFont="1" applyFill="1" applyBorder="1" applyAlignment="1" applyProtection="1">
      <alignment horizontal="right"/>
      <protection locked="0"/>
    </xf>
    <xf numFmtId="0" fontId="14" fillId="12" borderId="11" xfId="0" applyFont="1" applyFill="1" applyBorder="1" applyAlignment="1" applyProtection="1">
      <protection locked="0"/>
    </xf>
    <xf numFmtId="0" fontId="9" fillId="9" borderId="0" xfId="0" applyFont="1" applyFill="1" applyProtection="1">
      <protection locked="0"/>
    </xf>
    <xf numFmtId="0" fontId="34" fillId="11" borderId="0" xfId="0" applyFont="1" applyFill="1" applyBorder="1"/>
    <xf numFmtId="0" fontId="14" fillId="12" borderId="11" xfId="0" applyFont="1" applyFill="1" applyBorder="1" applyAlignment="1">
      <alignment horizontal="left"/>
    </xf>
    <xf numFmtId="0" fontId="13" fillId="13" borderId="0" xfId="0" applyFont="1" applyFill="1" applyBorder="1"/>
    <xf numFmtId="0" fontId="21" fillId="12" borderId="11" xfId="0" quotePrefix="1" applyFont="1" applyFill="1" applyBorder="1" applyAlignment="1">
      <alignment horizontal="right" wrapText="1"/>
    </xf>
    <xf numFmtId="0" fontId="35" fillId="11" borderId="0" xfId="0" applyFont="1" applyFill="1" applyBorder="1" applyAlignment="1">
      <alignment horizontal="left"/>
    </xf>
    <xf numFmtId="0" fontId="14" fillId="12" borderId="19" xfId="0" applyFont="1" applyFill="1" applyBorder="1" applyAlignment="1">
      <alignment wrapText="1"/>
    </xf>
    <xf numFmtId="0" fontId="14" fillId="12" borderId="20" xfId="0" applyFont="1" applyFill="1" applyBorder="1" applyAlignment="1">
      <alignment wrapText="1"/>
    </xf>
    <xf numFmtId="0" fontId="14" fillId="12" borderId="20" xfId="0" applyFont="1" applyFill="1" applyBorder="1" applyAlignment="1">
      <alignment vertical="top" wrapText="1"/>
    </xf>
    <xf numFmtId="0" fontId="14" fillId="12" borderId="20" xfId="0" applyFont="1" applyFill="1" applyBorder="1" applyAlignment="1">
      <alignment horizontal="left"/>
    </xf>
    <xf numFmtId="0" fontId="16" fillId="11" borderId="0" xfId="0" applyFont="1" applyFill="1" applyBorder="1" applyAlignment="1">
      <alignment horizontal="right"/>
    </xf>
    <xf numFmtId="0" fontId="39" fillId="11" borderId="0" xfId="0" applyFont="1" applyFill="1" applyBorder="1"/>
    <xf numFmtId="0" fontId="9" fillId="11" borderId="0" xfId="0" applyFont="1" applyFill="1" applyAlignment="1">
      <alignment wrapText="1"/>
    </xf>
    <xf numFmtId="0" fontId="21" fillId="12" borderId="11" xfId="0" applyFont="1" applyFill="1" applyBorder="1" applyAlignment="1">
      <alignment horizontal="right" wrapText="1"/>
    </xf>
    <xf numFmtId="0" fontId="21" fillId="12" borderId="0" xfId="0" applyFont="1" applyFill="1" applyBorder="1" applyAlignment="1">
      <alignment horizontal="left" wrapText="1"/>
    </xf>
    <xf numFmtId="0" fontId="23" fillId="11" borderId="0" xfId="0" applyFont="1" applyFill="1" applyBorder="1" applyAlignment="1">
      <alignment wrapText="1"/>
    </xf>
    <xf numFmtId="0" fontId="9" fillId="11" borderId="0" xfId="0" applyFont="1" applyFill="1" applyBorder="1" applyAlignment="1">
      <alignment wrapText="1"/>
    </xf>
    <xf numFmtId="0" fontId="9" fillId="9" borderId="0" xfId="0" applyFont="1" applyFill="1" applyAlignment="1">
      <alignment wrapText="1"/>
    </xf>
    <xf numFmtId="0" fontId="9" fillId="0" borderId="0" xfId="0" applyFont="1" applyAlignment="1">
      <alignment wrapText="1"/>
    </xf>
    <xf numFmtId="0" fontId="14" fillId="12" borderId="0" xfId="0" applyFont="1" applyFill="1" applyAlignment="1">
      <alignment horizontal="left" wrapText="1"/>
    </xf>
    <xf numFmtId="2" fontId="15" fillId="12" borderId="11" xfId="0" quotePrefix="1" applyNumberFormat="1" applyFont="1" applyFill="1" applyBorder="1" applyAlignment="1" applyProtection="1">
      <alignment horizontal="right"/>
      <protection locked="0"/>
    </xf>
    <xf numFmtId="2" fontId="14" fillId="12" borderId="11" xfId="0" applyNumberFormat="1" applyFont="1" applyFill="1" applyBorder="1" applyAlignment="1" applyProtection="1">
      <alignment horizontal="right"/>
      <protection locked="0"/>
    </xf>
    <xf numFmtId="1" fontId="21" fillId="12" borderId="11" xfId="0" quotePrefix="1" applyNumberFormat="1" applyFont="1" applyFill="1" applyBorder="1" applyAlignment="1">
      <alignment horizontal="right"/>
    </xf>
    <xf numFmtId="3" fontId="21" fillId="12" borderId="11" xfId="0" quotePrefix="1" applyNumberFormat="1" applyFont="1" applyFill="1" applyBorder="1" applyAlignment="1">
      <alignment horizontal="right"/>
    </xf>
    <xf numFmtId="0" fontId="40" fillId="11" borderId="0" xfId="0" applyFont="1" applyFill="1" applyBorder="1" applyAlignment="1">
      <alignment horizontal="left"/>
    </xf>
    <xf numFmtId="0" fontId="14" fillId="12" borderId="0" xfId="0" applyFont="1" applyFill="1" applyAlignment="1">
      <alignment wrapText="1"/>
    </xf>
    <xf numFmtId="0" fontId="14" fillId="12" borderId="0" xfId="0" applyFont="1" applyFill="1" applyAlignment="1"/>
    <xf numFmtId="0" fontId="14" fillId="12" borderId="0" xfId="0" quotePrefix="1" applyFont="1" applyFill="1" applyAlignment="1">
      <alignment wrapText="1"/>
    </xf>
    <xf numFmtId="0" fontId="14" fillId="9" borderId="11" xfId="0" applyFont="1" applyFill="1" applyBorder="1" applyAlignment="1" applyProtection="1">
      <alignment horizontal="left" wrapText="1"/>
      <protection locked="0"/>
    </xf>
    <xf numFmtId="0" fontId="18" fillId="12" borderId="19" xfId="0" applyFont="1" applyFill="1" applyBorder="1" applyAlignment="1">
      <alignment horizontal="center" vertical="center"/>
    </xf>
    <xf numFmtId="0" fontId="18" fillId="12" borderId="0" xfId="0" applyFont="1" applyFill="1" applyBorder="1" applyAlignment="1">
      <alignment horizontal="left" vertical="center" wrapText="1"/>
    </xf>
    <xf numFmtId="0" fontId="14" fillId="9" borderId="20" xfId="0" applyFont="1" applyFill="1" applyBorder="1" applyAlignment="1" applyProtection="1">
      <alignment horizontal="left" wrapText="1"/>
      <protection locked="0"/>
    </xf>
    <xf numFmtId="0" fontId="15" fillId="9" borderId="19" xfId="0" applyFont="1" applyFill="1" applyBorder="1" applyAlignment="1" applyProtection="1">
      <alignment horizontal="left" wrapText="1"/>
      <protection locked="0"/>
    </xf>
    <xf numFmtId="165" fontId="15" fillId="9" borderId="19" xfId="0" applyNumberFormat="1" applyFont="1" applyFill="1" applyBorder="1" applyAlignment="1" applyProtection="1">
      <alignment horizontal="left" wrapText="1"/>
      <protection locked="0"/>
    </xf>
    <xf numFmtId="0" fontId="9" fillId="11" borderId="0" xfId="0" applyFont="1" applyFill="1" applyBorder="1" applyAlignment="1">
      <alignment horizontal="left"/>
    </xf>
    <xf numFmtId="0" fontId="14" fillId="0" borderId="20" xfId="0" applyFont="1" applyBorder="1" applyAlignment="1" applyProtection="1">
      <alignment horizontal="left" wrapText="1"/>
      <protection locked="0"/>
    </xf>
    <xf numFmtId="0" fontId="33" fillId="9" borderId="11" xfId="1" applyFont="1" applyFill="1" applyBorder="1" applyAlignment="1" applyProtection="1">
      <alignment horizontal="left" wrapText="1"/>
      <protection locked="0"/>
    </xf>
    <xf numFmtId="0" fontId="14" fillId="0" borderId="11" xfId="0" applyFont="1" applyBorder="1" applyAlignment="1" applyProtection="1">
      <alignment horizontal="left" wrapText="1"/>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2">
    <cellStyle name="Hyperlink" xfId="1" builtinId="8"/>
    <cellStyle name="Standaard" xfId="0" builtinId="0"/>
  </cellStyles>
  <dxfs count="164">
    <dxf>
      <font>
        <color rgb="FFFF0000"/>
      </font>
    </dxf>
    <dxf>
      <font>
        <color rgb="FFD6DCE4"/>
      </font>
      <fill>
        <patternFill>
          <bgColor rgb="FFD6DCE4"/>
        </patternFill>
      </fill>
      <border>
        <left/>
        <right/>
        <top/>
        <bottom/>
        <vertical/>
        <horizontal/>
      </border>
    </dxf>
    <dxf>
      <font>
        <color rgb="FFD6DCE4"/>
      </font>
      <fill>
        <patternFill>
          <bgColor rgb="FFD6DCE4"/>
        </patternFill>
      </fill>
      <border>
        <left/>
        <right/>
        <top/>
        <bottom/>
        <vertical/>
        <horizontal/>
      </border>
    </dxf>
    <dxf>
      <fill>
        <patternFill>
          <bgColor rgb="FF00B050"/>
        </patternFill>
      </fill>
    </dxf>
    <dxf>
      <fill>
        <patternFill>
          <bgColor rgb="FFFF0000"/>
        </patternFill>
      </fill>
    </dxf>
    <dxf>
      <fill>
        <patternFill>
          <bgColor rgb="FF00B050"/>
        </patternFill>
      </fill>
    </dxf>
    <dxf>
      <fill>
        <patternFill>
          <bgColor rgb="FFFF0000"/>
        </patternFill>
      </fill>
    </dxf>
    <dxf>
      <font>
        <color rgb="FFD6DCE4"/>
      </font>
      <fill>
        <patternFill>
          <bgColor rgb="FFD6DCE4"/>
        </patternFill>
      </fill>
      <border>
        <left/>
        <right/>
        <top/>
        <bottom/>
        <vertical/>
        <horizontal/>
      </border>
    </dxf>
    <dxf>
      <font>
        <color rgb="FFD6DCE4"/>
      </font>
      <fill>
        <patternFill>
          <bgColor rgb="FFD6DCE4"/>
        </patternFill>
      </fill>
      <border>
        <left/>
        <right/>
        <top/>
        <bottom/>
        <vertical/>
        <horizontal/>
      </border>
    </dxf>
    <dxf>
      <fill>
        <patternFill>
          <bgColor rgb="FF00B050"/>
        </patternFill>
      </fill>
    </dxf>
    <dxf>
      <fill>
        <patternFill>
          <bgColor rgb="FFFF0000"/>
        </patternFill>
      </fill>
    </dxf>
    <dxf>
      <fill>
        <patternFill>
          <bgColor rgb="FF00B050"/>
        </patternFill>
      </fill>
    </dxf>
    <dxf>
      <fill>
        <patternFill>
          <bgColor rgb="FFFF0000"/>
        </patternFill>
      </fill>
    </dxf>
    <dxf>
      <font>
        <color rgb="FFD6DCE4"/>
      </font>
      <fill>
        <patternFill>
          <bgColor rgb="FFD6DCE4"/>
        </patternFill>
      </fill>
    </dxf>
    <dxf>
      <fill>
        <patternFill>
          <bgColor rgb="FFE8EBF0"/>
        </patternFill>
      </fill>
    </dxf>
    <dxf>
      <fill>
        <patternFill>
          <bgColor rgb="FFD6DCE4"/>
        </patternFill>
      </fill>
    </dxf>
    <dxf>
      <fill>
        <patternFill>
          <bgColor rgb="FFE8EBF0"/>
        </patternFill>
      </fill>
    </dxf>
    <dxf>
      <fill>
        <patternFill>
          <bgColor rgb="FFD6DCE4"/>
        </patternFill>
      </fill>
    </dxf>
    <dxf>
      <fill>
        <patternFill>
          <bgColor rgb="FFE8EBF0"/>
        </patternFill>
      </fill>
    </dxf>
    <dxf>
      <fill>
        <patternFill>
          <bgColor rgb="FFD6DCE4"/>
        </patternFill>
      </fill>
    </dxf>
    <dxf>
      <fill>
        <patternFill>
          <bgColor rgb="FFE8EBF0"/>
        </patternFill>
      </fill>
    </dxf>
    <dxf>
      <fill>
        <patternFill>
          <bgColor rgb="FFD6DCE4"/>
        </patternFill>
      </fill>
    </dxf>
    <dxf>
      <fill>
        <patternFill>
          <bgColor rgb="FFE8EBF0"/>
        </patternFill>
      </fill>
    </dxf>
    <dxf>
      <fill>
        <patternFill>
          <bgColor rgb="FFD6DCE4"/>
        </patternFill>
      </fill>
    </dxf>
    <dxf>
      <fill>
        <patternFill>
          <bgColor rgb="FFE8EBF0"/>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rgb="FFD6DCE4"/>
      </font>
      <fill>
        <patternFill>
          <bgColor rgb="FFD6DCE4"/>
        </patternFill>
      </fill>
    </dxf>
    <dxf>
      <font>
        <color theme="0" tint="-0.34998626667073579"/>
      </font>
      <fill>
        <patternFill>
          <bgColor rgb="FFE8EBF0"/>
        </patternFill>
      </fill>
    </dxf>
    <dxf>
      <fill>
        <patternFill>
          <bgColor rgb="FFD6DCE4"/>
        </patternFill>
      </fill>
    </dxf>
    <dxf>
      <fill>
        <patternFill>
          <bgColor rgb="FFD6DCE4"/>
        </patternFill>
      </fill>
    </dxf>
    <dxf>
      <fill>
        <patternFill>
          <bgColor theme="0"/>
        </patternFill>
      </fill>
      <border>
        <top style="hair">
          <color auto="1"/>
        </top>
        <bottom style="hair">
          <color auto="1"/>
        </bottom>
      </border>
    </dxf>
    <dxf>
      <font>
        <color rgb="FF00B050"/>
      </font>
      <fill>
        <patternFill>
          <bgColor rgb="FF00B050"/>
        </patternFill>
      </fill>
    </dxf>
    <dxf>
      <font>
        <color rgb="FFFF0000"/>
      </font>
      <fill>
        <patternFill>
          <bgColor rgb="FFFF0000"/>
        </patternFill>
      </fill>
    </dxf>
    <dxf>
      <font>
        <b val="0"/>
        <i val="0"/>
        <strike val="0"/>
        <color rgb="FFD6DCE4"/>
      </font>
      <fill>
        <patternFill>
          <fgColor theme="2"/>
          <bgColor rgb="FFD6DCE4"/>
        </patternFill>
      </fill>
      <border>
        <left/>
        <right/>
        <top/>
        <bottom/>
        <vertical/>
        <horizontal/>
      </border>
    </dxf>
    <dxf>
      <font>
        <b val="0"/>
        <i val="0"/>
        <strike val="0"/>
        <color theme="3" tint="0.79995117038483843"/>
      </font>
      <fill>
        <patternFill>
          <fgColor rgb="FFD3D9E3"/>
          <bgColor theme="3" tint="0.79995117038483843"/>
        </patternFill>
      </fill>
      <border>
        <left/>
        <right/>
        <top/>
        <bottom/>
      </border>
    </dxf>
    <dxf>
      <font>
        <color rgb="FFE8EBF0"/>
      </font>
      <fill>
        <patternFill>
          <bgColor rgb="FFE8EBF0"/>
        </patternFill>
      </fill>
    </dxf>
    <dxf>
      <fill>
        <patternFill>
          <bgColor theme="0"/>
        </patternFill>
      </fill>
      <border>
        <top style="hair">
          <color auto="1"/>
        </top>
        <bottom style="hair">
          <color auto="1"/>
        </bottom>
      </border>
    </dxf>
    <dxf>
      <font>
        <b val="0"/>
        <i val="0"/>
        <strike val="0"/>
        <color rgb="FFD6DCE4"/>
      </font>
      <fill>
        <patternFill>
          <fgColor theme="2"/>
          <bgColor rgb="FFD6DCE4"/>
        </patternFill>
      </fill>
      <border>
        <left/>
        <right/>
        <top/>
        <bottom/>
        <vertical/>
        <horizontal/>
      </border>
    </dxf>
    <dxf>
      <font>
        <b val="0"/>
        <i val="0"/>
        <strike val="0"/>
        <color theme="3" tint="0.79995117038483843"/>
      </font>
      <fill>
        <patternFill>
          <fgColor rgb="FFD3D9E3"/>
          <bgColor theme="3" tint="0.79995117038483843"/>
        </patternFill>
      </fill>
      <border>
        <left/>
        <right/>
        <top/>
        <bottom/>
      </border>
    </dxf>
    <dxf>
      <font>
        <color rgb="FFE8EBF0"/>
      </font>
      <fill>
        <patternFill>
          <bgColor rgb="FFE8EBF0"/>
        </patternFill>
      </fill>
    </dxf>
    <dxf>
      <fill>
        <patternFill>
          <bgColor theme="0"/>
        </patternFill>
      </fill>
      <border>
        <top style="hair">
          <color auto="1"/>
        </top>
        <bottom style="hair">
          <color auto="1"/>
        </bottom>
      </border>
    </dxf>
    <dxf>
      <font>
        <b val="0"/>
        <i val="0"/>
        <strike val="0"/>
        <color rgb="FFD6DCE4"/>
      </font>
      <fill>
        <patternFill>
          <fgColor theme="2"/>
          <bgColor rgb="FFD6DCE4"/>
        </patternFill>
      </fill>
      <border>
        <left/>
        <right/>
        <top/>
        <bottom/>
        <vertical/>
        <horizontal/>
      </border>
    </dxf>
    <dxf>
      <font>
        <b val="0"/>
        <i val="0"/>
        <strike val="0"/>
        <color theme="3" tint="0.79995117038483843"/>
      </font>
      <fill>
        <patternFill>
          <fgColor rgb="FFD3D9E3"/>
          <bgColor theme="3" tint="0.79995117038483843"/>
        </patternFill>
      </fill>
      <border>
        <left/>
        <right/>
        <top/>
        <bottom/>
      </border>
    </dxf>
    <dxf>
      <font>
        <color rgb="FFE8EBF0"/>
      </font>
      <fill>
        <patternFill>
          <bgColor rgb="FFE8EBF0"/>
        </patternFill>
      </fill>
    </dxf>
    <dxf>
      <fill>
        <patternFill>
          <bgColor theme="0"/>
        </patternFill>
      </fill>
      <border>
        <top style="hair">
          <color auto="1"/>
        </top>
        <bottom style="hair">
          <color auto="1"/>
        </bottom>
      </border>
    </dxf>
    <dxf>
      <font>
        <b val="0"/>
        <i val="0"/>
        <strike val="0"/>
        <color rgb="FFD6DCE4"/>
      </font>
      <fill>
        <patternFill>
          <fgColor theme="2"/>
          <bgColor rgb="FFD6DCE4"/>
        </patternFill>
      </fill>
      <border>
        <left/>
        <right/>
        <top/>
        <bottom/>
        <vertical/>
        <horizontal/>
      </border>
    </dxf>
    <dxf>
      <font>
        <b val="0"/>
        <i val="0"/>
        <strike val="0"/>
        <color theme="3" tint="0.79995117038483843"/>
      </font>
      <fill>
        <patternFill>
          <fgColor rgb="FFD3D9E3"/>
          <bgColor theme="3" tint="0.79995117038483843"/>
        </patternFill>
      </fill>
      <border>
        <left/>
        <right/>
        <top/>
        <bottom/>
      </border>
    </dxf>
    <dxf>
      <font>
        <color rgb="FFE8EBF0"/>
      </font>
      <fill>
        <patternFill>
          <bgColor rgb="FFE8EBF0"/>
        </patternFill>
      </fill>
    </dxf>
    <dxf>
      <fill>
        <patternFill>
          <bgColor theme="0"/>
        </patternFill>
      </fill>
      <border>
        <top style="hair">
          <color auto="1"/>
        </top>
        <bottom style="hair">
          <color auto="1"/>
        </bottom>
      </border>
    </dxf>
    <dxf>
      <font>
        <b val="0"/>
        <i val="0"/>
        <strike val="0"/>
        <color rgb="FFD6DCE4"/>
      </font>
      <fill>
        <patternFill>
          <fgColor theme="2"/>
          <bgColor rgb="FFD6DCE4"/>
        </patternFill>
      </fill>
      <border>
        <left/>
        <right/>
        <top/>
        <bottom/>
        <vertical/>
        <horizontal/>
      </border>
    </dxf>
    <dxf>
      <font>
        <b val="0"/>
        <i val="0"/>
        <strike val="0"/>
        <color theme="3" tint="0.79995117038483843"/>
      </font>
      <fill>
        <patternFill>
          <fgColor rgb="FFD3D9E3"/>
          <bgColor theme="3" tint="0.79995117038483843"/>
        </patternFill>
      </fill>
      <border>
        <left/>
        <right/>
        <top/>
        <bottom/>
      </border>
    </dxf>
    <dxf>
      <font>
        <color rgb="FFE8EBF0"/>
      </font>
      <fill>
        <patternFill>
          <bgColor rgb="FFE8EBF0"/>
        </patternFill>
      </fill>
    </dxf>
    <dxf>
      <fill>
        <patternFill>
          <bgColor theme="0"/>
        </patternFill>
      </fill>
      <border>
        <top style="hair">
          <color auto="1"/>
        </top>
        <bottom style="hair">
          <color auto="1"/>
        </bottom>
      </border>
    </dxf>
    <dxf>
      <fill>
        <patternFill>
          <bgColor rgb="FFE8EBF0"/>
        </patternFill>
      </fill>
    </dxf>
    <dxf>
      <font>
        <color auto="1"/>
      </font>
      <fill>
        <patternFill>
          <bgColor rgb="FFD6DCE4"/>
        </patternFill>
      </fill>
    </dxf>
    <dxf>
      <fill>
        <patternFill>
          <bgColor rgb="FF00B050"/>
        </patternFill>
      </fill>
    </dxf>
    <dxf>
      <fill>
        <patternFill>
          <bgColor rgb="FFFF0000"/>
        </patternFill>
      </fill>
    </dxf>
    <dxf>
      <font>
        <color rgb="FFD6DCE4"/>
      </font>
      <fill>
        <patternFill>
          <bgColor rgb="FFD6DCE4"/>
        </patternFill>
      </fill>
      <border>
        <left/>
        <right/>
        <top/>
        <bottom/>
      </border>
    </dxf>
    <dxf>
      <font>
        <color theme="3" tint="0.79998168889431442"/>
      </font>
      <fill>
        <patternFill>
          <bgColor theme="3" tint="0.79998168889431442"/>
        </patternFill>
      </fill>
      <border>
        <left/>
        <right/>
        <top/>
        <bottom/>
      </border>
    </dxf>
    <dxf>
      <font>
        <color rgb="FFD6DCE4"/>
      </font>
      <fill>
        <patternFill>
          <bgColor rgb="FFD6DCE4"/>
        </patternFill>
      </fill>
      <border>
        <left/>
        <right/>
        <top/>
        <bottom/>
        <vertical/>
        <horizontal/>
      </border>
    </dxf>
    <dxf>
      <font>
        <color theme="3" tint="0.79998168889431442"/>
      </font>
      <fill>
        <patternFill>
          <bgColor theme="3" tint="0.79998168889431442"/>
        </patternFill>
      </fill>
      <border>
        <left/>
        <right/>
        <top/>
        <bottom/>
      </border>
    </dxf>
    <dxf>
      <font>
        <color rgb="FFE8EBF0"/>
      </font>
      <fill>
        <patternFill patternType="solid">
          <bgColor rgb="FFE8EBF0"/>
        </patternFill>
      </fill>
    </dxf>
    <dxf>
      <font>
        <color rgb="FFE8EBF0"/>
      </font>
      <fill>
        <patternFill patternType="solid">
          <bgColor rgb="FFE8EBF0"/>
        </patternFill>
      </fill>
    </dxf>
    <dxf>
      <font>
        <color rgb="FFD6DCE4"/>
      </font>
      <fill>
        <patternFill>
          <bgColor rgb="FFD6DCE4"/>
        </patternFill>
      </fill>
      <border>
        <left/>
        <right/>
        <top/>
        <bottom/>
        <vertical/>
        <horizontal/>
      </border>
    </dxf>
    <dxf>
      <font>
        <color theme="3" tint="0.79998168889431442"/>
      </font>
      <fill>
        <patternFill>
          <bgColor theme="3" tint="0.79998168889431442"/>
        </patternFill>
      </fill>
      <border>
        <left/>
        <right/>
        <top/>
        <bottom/>
      </border>
    </dxf>
    <dxf>
      <fill>
        <patternFill>
          <bgColor theme="0"/>
        </patternFill>
      </fill>
    </dxf>
    <dxf>
      <font>
        <strike val="0"/>
        <color rgb="FFE8EBF0"/>
      </font>
      <fill>
        <patternFill>
          <bgColor rgb="FFE8EBF0"/>
        </patternFill>
      </fill>
    </dxf>
    <dxf>
      <fill>
        <patternFill>
          <bgColor theme="0"/>
        </patternFill>
      </fill>
    </dxf>
    <dxf>
      <fill>
        <patternFill>
          <bgColor theme="0"/>
        </patternFill>
      </fill>
    </dxf>
    <dxf>
      <font>
        <color rgb="FFE8EBF0"/>
      </font>
    </dxf>
    <dxf>
      <font>
        <strike val="0"/>
        <color rgb="FFE8EBF0"/>
      </font>
      <fill>
        <patternFill>
          <bgColor rgb="FFE8EBF0"/>
        </patternFill>
      </fill>
    </dxf>
    <dxf>
      <fill>
        <patternFill>
          <bgColor theme="0"/>
        </patternFill>
      </fill>
    </dxf>
    <dxf>
      <fill>
        <patternFill>
          <bgColor theme="0"/>
        </patternFill>
      </fill>
    </dxf>
    <dxf>
      <font>
        <color rgb="FFE8EBF0"/>
      </font>
    </dxf>
    <dxf>
      <font>
        <strike val="0"/>
        <color rgb="FFE8EBF0"/>
      </font>
      <fill>
        <patternFill>
          <bgColor rgb="FFE8EBF0"/>
        </patternFill>
      </fill>
    </dxf>
    <dxf>
      <fill>
        <patternFill>
          <bgColor theme="0"/>
        </patternFill>
      </fill>
    </dxf>
    <dxf>
      <fill>
        <patternFill>
          <bgColor theme="0"/>
        </patternFill>
      </fill>
    </dxf>
    <dxf>
      <font>
        <color rgb="FFE8EBF0"/>
      </font>
    </dxf>
    <dxf>
      <font>
        <strike val="0"/>
        <color rgb="FFE8EBF0"/>
      </font>
      <fill>
        <patternFill>
          <bgColor rgb="FFE8EBF0"/>
        </patternFill>
      </fill>
    </dxf>
    <dxf>
      <fill>
        <patternFill>
          <bgColor theme="0"/>
        </patternFill>
      </fill>
    </dxf>
    <dxf>
      <fill>
        <patternFill>
          <bgColor theme="0"/>
        </patternFill>
      </fill>
    </dxf>
    <dxf>
      <font>
        <color rgb="FFE8EBF0"/>
      </font>
    </dxf>
    <dxf>
      <font>
        <strike val="0"/>
        <color rgb="FFE8EBF0"/>
      </font>
      <fill>
        <patternFill>
          <bgColor rgb="FFE8EBF0"/>
        </patternFill>
      </fill>
    </dxf>
    <dxf>
      <fill>
        <patternFill>
          <bgColor theme="0"/>
        </patternFill>
      </fill>
    </dxf>
    <dxf>
      <fill>
        <patternFill>
          <bgColor theme="0"/>
        </patternFill>
      </fill>
    </dxf>
    <dxf>
      <font>
        <color rgb="FFE8EBF0"/>
      </font>
    </dxf>
    <dxf>
      <font>
        <strike val="0"/>
        <color rgb="FFE8EBF0"/>
      </font>
      <fill>
        <patternFill>
          <bgColor rgb="FFE8EBF0"/>
        </patternFill>
      </fill>
    </dxf>
    <dxf>
      <fill>
        <patternFill>
          <bgColor theme="0"/>
        </patternFill>
      </fill>
    </dxf>
    <dxf>
      <fill>
        <patternFill>
          <bgColor theme="0"/>
        </patternFill>
      </fill>
    </dxf>
    <dxf>
      <font>
        <color rgb="FFE8EBF0"/>
      </font>
    </dxf>
    <dxf>
      <font>
        <color rgb="FFD6DCE4"/>
      </font>
      <fill>
        <patternFill>
          <bgColor rgb="FFD6DCE4"/>
        </patternFill>
      </fill>
      <border>
        <left/>
        <right/>
        <top/>
        <bottom/>
        <vertical/>
        <horizontal/>
      </border>
    </dxf>
    <dxf>
      <font>
        <color theme="3" tint="0.79998168889431442"/>
      </font>
      <fill>
        <patternFill>
          <bgColor theme="3" tint="0.79998168889431442"/>
        </patternFill>
      </fill>
      <border>
        <left/>
        <right/>
        <top/>
        <bottom/>
      </border>
    </dxf>
    <dxf>
      <font>
        <strike val="0"/>
        <color rgb="FFE8EBF0"/>
      </font>
      <fill>
        <patternFill>
          <bgColor rgb="FFE8EBF0"/>
        </patternFill>
      </fill>
    </dxf>
    <dxf>
      <font>
        <color rgb="FFD6DCE4"/>
      </font>
      <fill>
        <patternFill>
          <bgColor rgb="FFD6DCE4"/>
        </patternFill>
      </fill>
      <border>
        <left/>
        <right/>
        <top/>
        <bottom/>
        <vertical/>
        <horizontal/>
      </border>
    </dxf>
    <dxf>
      <font>
        <color theme="3" tint="0.79998168889431442"/>
      </font>
      <fill>
        <patternFill>
          <bgColor theme="3" tint="0.79998168889431442"/>
        </patternFill>
      </fill>
      <border>
        <left/>
        <right/>
        <top/>
        <bottom/>
      </border>
    </dxf>
    <dxf>
      <font>
        <strike val="0"/>
        <color rgb="FFE8EBF0"/>
      </font>
      <fill>
        <patternFill>
          <bgColor rgb="FFE8EBF0"/>
        </patternFill>
      </fill>
    </dxf>
    <dxf>
      <font>
        <color rgb="FFD6DCE4"/>
      </font>
      <fill>
        <patternFill>
          <bgColor rgb="FFD6DCE4"/>
        </patternFill>
      </fill>
      <border>
        <left/>
        <right/>
        <top/>
        <bottom/>
      </border>
    </dxf>
    <dxf>
      <font>
        <strike val="0"/>
        <color rgb="FFE8EBF0"/>
      </font>
      <fill>
        <patternFill>
          <bgColor rgb="FFE8EBF0"/>
        </patternFill>
      </fill>
    </dxf>
    <dxf>
      <font>
        <b val="0"/>
        <i val="0"/>
        <strike val="0"/>
        <color rgb="FFD6DCE4"/>
      </font>
      <fill>
        <patternFill>
          <fgColor theme="2"/>
          <bgColor rgb="FFD6DCE4"/>
        </patternFill>
      </fill>
      <border>
        <left/>
        <right/>
        <top/>
        <bottom/>
        <vertical/>
        <horizontal/>
      </border>
    </dxf>
    <dxf>
      <font>
        <color rgb="FFD6DCE4"/>
      </font>
      <fill>
        <patternFill>
          <bgColor rgb="FFD6DCE4"/>
        </patternFill>
      </fill>
      <border>
        <left/>
        <right/>
        <top/>
        <bottom/>
        <vertical/>
        <horizontal/>
      </border>
    </dxf>
    <dxf>
      <font>
        <color rgb="FFD6DCE4"/>
      </font>
      <fill>
        <patternFill>
          <bgColor rgb="FFD6DCE4"/>
        </patternFill>
      </fill>
      <border>
        <left/>
        <right/>
        <top/>
        <bottom/>
        <vertical/>
        <horizontal/>
      </border>
    </dxf>
    <dxf>
      <font>
        <color rgb="FFD6DCE4"/>
      </font>
      <fill>
        <patternFill>
          <bgColor rgb="FFD6DCE4"/>
        </patternFill>
      </fill>
      <border>
        <left/>
        <right/>
        <top/>
        <bottom/>
        <vertical/>
        <horizontal/>
      </border>
    </dxf>
    <dxf>
      <font>
        <color rgb="FFD6DCE4"/>
      </font>
      <fill>
        <patternFill>
          <bgColor rgb="FFD6DCE4"/>
        </patternFill>
      </fill>
      <border>
        <left/>
        <right/>
        <top/>
        <bottom/>
      </border>
    </dxf>
    <dxf>
      <font>
        <strike val="0"/>
        <color rgb="FFE8EBF0"/>
      </font>
      <fill>
        <patternFill>
          <bgColor rgb="FFE8EBF0"/>
        </patternFill>
      </fill>
    </dxf>
    <dxf>
      <font>
        <b val="0"/>
        <i val="0"/>
        <strike val="0"/>
        <color theme="3" tint="0.79995117038483843"/>
      </font>
      <fill>
        <patternFill>
          <fgColor rgb="FFD3D9E3"/>
          <bgColor theme="3" tint="0.79995117038483843"/>
        </patternFill>
      </fill>
      <border>
        <left/>
        <right/>
        <top/>
        <bottom/>
      </border>
    </dxf>
    <dxf>
      <font>
        <strike val="0"/>
        <color rgb="FFE8EBF0"/>
      </font>
      <fill>
        <patternFill>
          <bgColor rgb="FFE8EBF0"/>
        </patternFill>
      </fill>
    </dxf>
    <dxf>
      <fill>
        <patternFill>
          <bgColor theme="0"/>
        </patternFill>
      </fill>
    </dxf>
    <dxf>
      <fill>
        <patternFill>
          <bgColor theme="0"/>
        </patternFill>
      </fill>
    </dxf>
    <dxf>
      <font>
        <color rgb="FFE8EBF0"/>
      </font>
      <fill>
        <patternFill patternType="solid">
          <bgColor rgb="FFE8EBF0"/>
        </patternFill>
      </fill>
    </dxf>
    <dxf>
      <fill>
        <patternFill>
          <bgColor rgb="FF00B0F0"/>
        </patternFill>
      </fill>
    </dxf>
    <dxf>
      <font>
        <color rgb="FFE8EBF0"/>
      </font>
      <fill>
        <patternFill>
          <bgColor rgb="FFE8EBF0"/>
        </patternFill>
      </fill>
    </dxf>
    <dxf>
      <fill>
        <patternFill>
          <bgColor theme="0"/>
        </patternFill>
      </fill>
    </dxf>
    <dxf>
      <font>
        <color theme="3" tint="0.79998168889431442"/>
      </font>
      <fill>
        <patternFill>
          <bgColor theme="3" tint="0.79998168889431442"/>
        </patternFill>
      </fill>
      <border>
        <left/>
        <right/>
        <top/>
        <bottom/>
      </border>
    </dxf>
    <dxf>
      <font>
        <strike val="0"/>
        <color rgb="FFE8EBF0"/>
      </font>
      <fill>
        <patternFill>
          <bgColor rgb="FFE8EBF0"/>
        </patternFill>
      </fill>
    </dxf>
    <dxf>
      <fill>
        <patternFill>
          <bgColor theme="0"/>
        </patternFill>
      </fill>
    </dxf>
    <dxf>
      <font>
        <color rgb="FFE8EBF0"/>
      </font>
      <fill>
        <patternFill patternType="solid">
          <bgColor rgb="FFE8EBF0"/>
        </patternFill>
      </fill>
    </dxf>
    <dxf>
      <fill>
        <patternFill>
          <bgColor rgb="FF00B0F0"/>
        </patternFill>
      </fill>
    </dxf>
    <dxf>
      <font>
        <color theme="3" tint="0.79998168889431442"/>
      </font>
      <fill>
        <patternFill>
          <bgColor theme="3" tint="0.79998168889431442"/>
        </patternFill>
      </fill>
      <border>
        <left/>
        <right/>
        <top/>
        <bottom/>
      </border>
    </dxf>
    <dxf>
      <font>
        <strike val="0"/>
        <color rgb="FFE8EBF0"/>
      </font>
      <fill>
        <patternFill>
          <bgColor rgb="FFE8EBF0"/>
        </patternFill>
      </fill>
    </dxf>
    <dxf>
      <fill>
        <patternFill>
          <bgColor theme="0"/>
        </patternFill>
      </fill>
    </dxf>
    <dxf>
      <fill>
        <patternFill>
          <bgColor theme="0"/>
        </patternFill>
      </fill>
    </dxf>
    <dxf>
      <font>
        <color rgb="FFE8EBF0"/>
      </font>
      <fill>
        <patternFill patternType="solid">
          <bgColor rgb="FFE8EBF0"/>
        </patternFill>
      </fill>
    </dxf>
    <dxf>
      <fill>
        <patternFill>
          <bgColor rgb="FF00B0F0"/>
        </patternFill>
      </fill>
    </dxf>
    <dxf>
      <font>
        <color theme="3" tint="0.79998168889431442"/>
      </font>
      <fill>
        <patternFill>
          <bgColor theme="3" tint="0.79998168889431442"/>
        </patternFill>
      </fill>
      <border>
        <left/>
        <right/>
        <top/>
        <bottom/>
      </border>
    </dxf>
    <dxf>
      <font>
        <strike val="0"/>
        <color rgb="FFE8EBF0"/>
      </font>
      <fill>
        <patternFill>
          <bgColor rgb="FFE8EBF0"/>
        </patternFill>
      </fill>
    </dxf>
    <dxf>
      <fill>
        <patternFill>
          <bgColor theme="0"/>
        </patternFill>
      </fill>
    </dxf>
    <dxf>
      <fill>
        <patternFill>
          <bgColor theme="0"/>
        </patternFill>
      </fill>
    </dxf>
    <dxf>
      <font>
        <color rgb="FFE8EBF0"/>
      </font>
      <fill>
        <patternFill patternType="solid">
          <bgColor rgb="FFE8EBF0"/>
        </patternFill>
      </fill>
    </dxf>
    <dxf>
      <fill>
        <patternFill>
          <bgColor rgb="FF00B0F0"/>
        </patternFill>
      </fill>
    </dxf>
    <dxf>
      <font>
        <strike val="0"/>
        <color rgb="FFE8EBF0"/>
      </font>
      <fill>
        <patternFill>
          <bgColor rgb="FFE8EBF0"/>
        </patternFill>
      </fill>
    </dxf>
    <dxf>
      <fill>
        <patternFill>
          <bgColor theme="0"/>
        </patternFill>
      </fill>
    </dxf>
    <dxf>
      <fill>
        <patternFill>
          <bgColor theme="0"/>
        </patternFill>
      </fill>
    </dxf>
    <dxf>
      <font>
        <color rgb="FFE8EBF0"/>
      </font>
      <fill>
        <patternFill patternType="solid">
          <bgColor rgb="FFE8EBF0"/>
        </patternFill>
      </fill>
    </dxf>
    <dxf>
      <fill>
        <patternFill>
          <bgColor rgb="FF00B0F0"/>
        </patternFill>
      </fill>
    </dxf>
    <dxf>
      <font>
        <color theme="3" tint="0.79998168889431442"/>
      </font>
      <fill>
        <patternFill>
          <bgColor theme="3" tint="0.79998168889431442"/>
        </patternFill>
      </fill>
      <border>
        <left/>
        <right/>
        <top/>
        <bottom/>
      </border>
    </dxf>
    <dxf>
      <font>
        <strike val="0"/>
        <color rgb="FFE8EBF0"/>
      </font>
      <fill>
        <patternFill>
          <bgColor rgb="FFE8EBF0"/>
        </patternFill>
      </fill>
    </dxf>
    <dxf>
      <fill>
        <patternFill>
          <bgColor theme="0"/>
        </patternFill>
      </fill>
    </dxf>
    <dxf>
      <fill>
        <patternFill>
          <bgColor theme="0"/>
        </patternFill>
      </fill>
    </dxf>
    <dxf>
      <font>
        <color rgb="FFE8EBF0"/>
      </font>
      <fill>
        <patternFill patternType="solid">
          <bgColor rgb="FFE8EBF0"/>
        </patternFill>
      </fill>
    </dxf>
    <dxf>
      <fill>
        <patternFill>
          <bgColor rgb="FF00B0F0"/>
        </patternFill>
      </fill>
    </dxf>
    <dxf>
      <font>
        <color rgb="FFFF0000"/>
      </font>
    </dxf>
    <dxf>
      <font>
        <strike val="0"/>
        <color rgb="FFE8EBF0"/>
      </font>
      <fill>
        <patternFill>
          <bgColor rgb="FFE8EBF0"/>
        </patternFill>
      </fill>
    </dxf>
    <dxf>
      <fill>
        <patternFill>
          <bgColor theme="0"/>
        </patternFill>
      </fill>
    </dxf>
    <dxf>
      <fill>
        <patternFill>
          <bgColor theme="0"/>
        </patternFill>
      </fill>
    </dxf>
    <dxf>
      <fill>
        <patternFill>
          <bgColor theme="0"/>
        </patternFill>
      </fill>
    </dxf>
    <dxf>
      <font>
        <color rgb="FFE8EBF0"/>
      </font>
    </dxf>
    <dxf>
      <fill>
        <patternFill>
          <bgColor theme="0"/>
        </patternFill>
      </fill>
    </dxf>
    <dxf>
      <font>
        <color rgb="FFE8EBF0"/>
      </font>
      <fill>
        <patternFill patternType="solid">
          <bgColor rgb="FFE8EBF0"/>
        </patternFill>
      </fill>
    </dxf>
  </dxfs>
  <tableStyles count="0" defaultTableStyle="TableStyleMedium2" defaultPivotStyle="PivotStyleLight16"/>
  <colors>
    <mruColors>
      <color rgb="FFD6DCE4"/>
      <color rgb="FFE8EBF0"/>
      <color rgb="FFFFFFFF"/>
      <color rgb="FFDCDAE4"/>
      <color rgb="FFD3D9E3"/>
      <color rgb="FFDEE3EA"/>
      <color rgb="FF0099FF"/>
      <color rgb="FFFF99FF"/>
      <color rgb="FFFF00FF"/>
      <color rgb="FFEF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PV_Gebouwkenmerken"/><Relationship Id="rId13" Type="http://schemas.openxmlformats.org/officeDocument/2006/relationships/image" Target="../media/image5.png"/><Relationship Id="rId3" Type="http://schemas.openxmlformats.org/officeDocument/2006/relationships/image" Target="../media/image3.png"/><Relationship Id="rId7" Type="http://schemas.openxmlformats.org/officeDocument/2006/relationships/hyperlink" Target="#PV_algemeen"/><Relationship Id="rId12" Type="http://schemas.openxmlformats.org/officeDocument/2006/relationships/hyperlink" Target="#Tool_Afdrukken"/><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PV_Objectgegevens"/><Relationship Id="rId11" Type="http://schemas.openxmlformats.org/officeDocument/2006/relationships/hyperlink" Target="#Bepaling_eis"/><Relationship Id="rId5" Type="http://schemas.openxmlformats.org/officeDocument/2006/relationships/hyperlink" Target="https://bcrg.nl/nl/verklaringenregister/pv-cellen/?ordering=-created_at&amp;category=9" TargetMode="External"/><Relationship Id="rId10" Type="http://schemas.openxmlformats.org/officeDocument/2006/relationships/hyperlink" Target="#PV_Gegevens_PV_systeem"/><Relationship Id="rId4" Type="http://schemas.openxmlformats.org/officeDocument/2006/relationships/image" Target="../media/image4.png"/><Relationship Id="rId9" Type="http://schemas.openxmlformats.org/officeDocument/2006/relationships/hyperlink" Target="#PV_details"/></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Toelichting_Objectgegevens"/><Relationship Id="rId7" Type="http://schemas.openxmlformats.org/officeDocument/2006/relationships/hyperlink" Target="#Toelichting_Bepaling_eis"/><Relationship Id="rId2" Type="http://schemas.openxmlformats.org/officeDocument/2006/relationships/hyperlink" Target="#Toelichting_algemeen"/><Relationship Id="rId1" Type="http://schemas.openxmlformats.org/officeDocument/2006/relationships/hyperlink" Target="#MeerInformatie"/><Relationship Id="rId6" Type="http://schemas.openxmlformats.org/officeDocument/2006/relationships/hyperlink" Target="#Rekentool_algemeen"/><Relationship Id="rId5" Type="http://schemas.openxmlformats.org/officeDocument/2006/relationships/hyperlink" Target="#Toelichting_Gegevens_PV_systeem"/><Relationship Id="rId4" Type="http://schemas.openxmlformats.org/officeDocument/2006/relationships/hyperlink" Target="#Toelichting_Gebouwkenmerken"/><Relationship Id="rId9" Type="http://schemas.openxmlformats.org/officeDocument/2006/relationships/hyperlink" Target="#Toelichting_Afdrukken"/></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5617972</xdr:colOff>
      <xdr:row>121</xdr:row>
      <xdr:rowOff>5130</xdr:rowOff>
    </xdr:from>
    <xdr:to>
      <xdr:col>2</xdr:col>
      <xdr:colOff>7998282</xdr:colOff>
      <xdr:row>131</xdr:row>
      <xdr:rowOff>110490</xdr:rowOff>
    </xdr:to>
    <xdr:pic>
      <xdr:nvPicPr>
        <xdr:cNvPr id="2" name="Afbeelding 1">
          <a:extLst>
            <a:ext uri="{FF2B5EF4-FFF2-40B4-BE49-F238E27FC236}">
              <a16:creationId xmlns:a16="http://schemas.microsoft.com/office/drawing/2014/main" id="{057D2948-4CA5-4B30-A68D-C50BD3E52D0A}"/>
            </a:ext>
          </a:extLst>
        </xdr:cNvPr>
        <xdr:cNvPicPr>
          <a:picLocks noChangeAspect="1"/>
        </xdr:cNvPicPr>
      </xdr:nvPicPr>
      <xdr:blipFill>
        <a:blip xmlns:r="http://schemas.openxmlformats.org/officeDocument/2006/relationships" r:embed="rId1"/>
        <a:stretch>
          <a:fillRect/>
        </a:stretch>
      </xdr:blipFill>
      <xdr:spPr>
        <a:xfrm>
          <a:off x="10551922" y="22760355"/>
          <a:ext cx="2380310" cy="2090370"/>
        </a:xfrm>
        <a:prstGeom prst="rect">
          <a:avLst/>
        </a:prstGeom>
      </xdr:spPr>
    </xdr:pic>
    <xdr:clientData/>
  </xdr:twoCellAnchor>
  <xdr:twoCellAnchor editAs="oneCell">
    <xdr:from>
      <xdr:col>2</xdr:col>
      <xdr:colOff>60579</xdr:colOff>
      <xdr:row>121</xdr:row>
      <xdr:rowOff>19050</xdr:rowOff>
    </xdr:from>
    <xdr:to>
      <xdr:col>2</xdr:col>
      <xdr:colOff>3623275</xdr:colOff>
      <xdr:row>131</xdr:row>
      <xdr:rowOff>111686</xdr:rowOff>
    </xdr:to>
    <xdr:pic>
      <xdr:nvPicPr>
        <xdr:cNvPr id="4" name="Afbeelding 3">
          <a:extLst>
            <a:ext uri="{FF2B5EF4-FFF2-40B4-BE49-F238E27FC236}">
              <a16:creationId xmlns:a16="http://schemas.microsoft.com/office/drawing/2014/main" id="{FA9AC7B6-10CA-446E-8A37-70EAEEFCB0B2}"/>
            </a:ext>
          </a:extLst>
        </xdr:cNvPr>
        <xdr:cNvPicPr>
          <a:picLocks noChangeAspect="1"/>
        </xdr:cNvPicPr>
      </xdr:nvPicPr>
      <xdr:blipFill>
        <a:blip xmlns:r="http://schemas.openxmlformats.org/officeDocument/2006/relationships" r:embed="rId2"/>
        <a:stretch>
          <a:fillRect/>
        </a:stretch>
      </xdr:blipFill>
      <xdr:spPr>
        <a:xfrm>
          <a:off x="4994529" y="22774275"/>
          <a:ext cx="3583651" cy="2086536"/>
        </a:xfrm>
        <a:prstGeom prst="rect">
          <a:avLst/>
        </a:prstGeom>
      </xdr:spPr>
    </xdr:pic>
    <xdr:clientData/>
  </xdr:twoCellAnchor>
  <xdr:twoCellAnchor editAs="oneCell">
    <xdr:from>
      <xdr:col>2</xdr:col>
      <xdr:colOff>47625</xdr:colOff>
      <xdr:row>145</xdr:row>
      <xdr:rowOff>19050</xdr:rowOff>
    </xdr:from>
    <xdr:to>
      <xdr:col>2</xdr:col>
      <xdr:colOff>3579476</xdr:colOff>
      <xdr:row>159</xdr:row>
      <xdr:rowOff>34882</xdr:rowOff>
    </xdr:to>
    <xdr:pic>
      <xdr:nvPicPr>
        <xdr:cNvPr id="5" name="Afbeelding 4">
          <a:extLst>
            <a:ext uri="{FF2B5EF4-FFF2-40B4-BE49-F238E27FC236}">
              <a16:creationId xmlns:a16="http://schemas.microsoft.com/office/drawing/2014/main" id="{AB41AD6E-13A9-4D46-BA32-DCAE3B860A19}"/>
            </a:ext>
          </a:extLst>
        </xdr:cNvPr>
        <xdr:cNvPicPr>
          <a:picLocks noChangeAspect="1"/>
        </xdr:cNvPicPr>
      </xdr:nvPicPr>
      <xdr:blipFill>
        <a:blip xmlns:r="http://schemas.openxmlformats.org/officeDocument/2006/relationships" r:embed="rId3"/>
        <a:stretch>
          <a:fillRect/>
        </a:stretch>
      </xdr:blipFill>
      <xdr:spPr>
        <a:xfrm>
          <a:off x="4981575" y="27574875"/>
          <a:ext cx="3531851" cy="2816181"/>
        </a:xfrm>
        <a:prstGeom prst="rect">
          <a:avLst/>
        </a:prstGeom>
      </xdr:spPr>
    </xdr:pic>
    <xdr:clientData/>
  </xdr:twoCellAnchor>
  <xdr:twoCellAnchor editAs="oneCell">
    <xdr:from>
      <xdr:col>1</xdr:col>
      <xdr:colOff>267148</xdr:colOff>
      <xdr:row>56</xdr:row>
      <xdr:rowOff>108922</xdr:rowOff>
    </xdr:from>
    <xdr:to>
      <xdr:col>1</xdr:col>
      <xdr:colOff>4193633</xdr:colOff>
      <xdr:row>68</xdr:row>
      <xdr:rowOff>3353</xdr:rowOff>
    </xdr:to>
    <xdr:pic>
      <xdr:nvPicPr>
        <xdr:cNvPr id="6" name="Afbeelding 5">
          <a:extLst>
            <a:ext uri="{FF2B5EF4-FFF2-40B4-BE49-F238E27FC236}">
              <a16:creationId xmlns:a16="http://schemas.microsoft.com/office/drawing/2014/main" id="{A3AAD45C-F93B-440F-945C-18094ED903B9}"/>
            </a:ext>
          </a:extLst>
        </xdr:cNvPr>
        <xdr:cNvPicPr>
          <a:picLocks noChangeAspect="1"/>
        </xdr:cNvPicPr>
      </xdr:nvPicPr>
      <xdr:blipFill>
        <a:blip xmlns:r="http://schemas.openxmlformats.org/officeDocument/2006/relationships" r:embed="rId4"/>
        <a:stretch>
          <a:fillRect/>
        </a:stretch>
      </xdr:blipFill>
      <xdr:spPr>
        <a:xfrm>
          <a:off x="737795" y="9790804"/>
          <a:ext cx="3942995" cy="2195671"/>
        </a:xfrm>
        <a:prstGeom prst="rect">
          <a:avLst/>
        </a:prstGeom>
      </xdr:spPr>
    </xdr:pic>
    <xdr:clientData/>
  </xdr:twoCellAnchor>
  <xdr:twoCellAnchor>
    <xdr:from>
      <xdr:col>2</xdr:col>
      <xdr:colOff>4935738</xdr:colOff>
      <xdr:row>83</xdr:row>
      <xdr:rowOff>184381</xdr:rowOff>
    </xdr:from>
    <xdr:to>
      <xdr:col>2</xdr:col>
      <xdr:colOff>7593437</xdr:colOff>
      <xdr:row>85</xdr:row>
      <xdr:rowOff>94398</xdr:rowOff>
    </xdr:to>
    <xdr:sp macro="" textlink="">
      <xdr:nvSpPr>
        <xdr:cNvPr id="8" name="Rechthoek 7" descr="BCRG&#10;">
          <a:hlinkClick xmlns:r="http://schemas.openxmlformats.org/officeDocument/2006/relationships" r:id="rId5"/>
          <a:extLst>
            <a:ext uri="{FF2B5EF4-FFF2-40B4-BE49-F238E27FC236}">
              <a16:creationId xmlns:a16="http://schemas.microsoft.com/office/drawing/2014/main" id="{D6230EF0-603F-4D13-BF81-1FD998EC9B81}"/>
            </a:ext>
          </a:extLst>
        </xdr:cNvPr>
        <xdr:cNvSpPr/>
      </xdr:nvSpPr>
      <xdr:spPr>
        <a:xfrm>
          <a:off x="10012563" y="16157806"/>
          <a:ext cx="2657699" cy="291017"/>
        </a:xfrm>
        <a:prstGeom prst="rect">
          <a:avLst/>
        </a:prstGeom>
        <a:solidFill>
          <a:schemeClr val="tx2">
            <a:lumMod val="60000"/>
            <a:lumOff val="4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nl-NL" sz="1100"/>
            <a:t>BCRG</a:t>
          </a:r>
          <a:r>
            <a:rPr lang="nl-NL" sz="1100" baseline="0"/>
            <a:t> databank PV panelen</a:t>
          </a:r>
          <a:endParaRPr lang="nl-NL" sz="1100"/>
        </a:p>
      </xdr:txBody>
    </xdr:sp>
    <xdr:clientData/>
  </xdr:twoCellAnchor>
  <xdr:twoCellAnchor>
    <xdr:from>
      <xdr:col>0</xdr:col>
      <xdr:colOff>144863</xdr:colOff>
      <xdr:row>30</xdr:row>
      <xdr:rowOff>150164</xdr:rowOff>
    </xdr:from>
    <xdr:to>
      <xdr:col>0</xdr:col>
      <xdr:colOff>438578</xdr:colOff>
      <xdr:row>32</xdr:row>
      <xdr:rowOff>66465</xdr:rowOff>
    </xdr:to>
    <xdr:grpSp>
      <xdr:nvGrpSpPr>
        <xdr:cNvPr id="16" name="Groep 15">
          <a:hlinkClick xmlns:r="http://schemas.openxmlformats.org/officeDocument/2006/relationships" r:id="rId6"/>
          <a:extLst>
            <a:ext uri="{FF2B5EF4-FFF2-40B4-BE49-F238E27FC236}">
              <a16:creationId xmlns:a16="http://schemas.microsoft.com/office/drawing/2014/main" id="{022CBB96-C09F-411A-884C-D5FAE849F10E}"/>
            </a:ext>
          </a:extLst>
        </xdr:cNvPr>
        <xdr:cNvGrpSpPr/>
      </xdr:nvGrpSpPr>
      <xdr:grpSpPr>
        <a:xfrm>
          <a:off x="144863" y="5968258"/>
          <a:ext cx="293715" cy="292819"/>
          <a:chOff x="4713095" y="4773516"/>
          <a:chExt cx="288000" cy="294237"/>
        </a:xfrm>
      </xdr:grpSpPr>
      <xdr:sp macro="" textlink="">
        <xdr:nvSpPr>
          <xdr:cNvPr id="13" name="Ovaal 12">
            <a:extLst>
              <a:ext uri="{FF2B5EF4-FFF2-40B4-BE49-F238E27FC236}">
                <a16:creationId xmlns:a16="http://schemas.microsoft.com/office/drawing/2014/main" id="{9C224B65-3FFC-451D-AC5E-99A9C58A0F31}"/>
              </a:ext>
            </a:extLst>
          </xdr:cNvPr>
          <xdr:cNvSpPr/>
        </xdr:nvSpPr>
        <xdr:spPr>
          <a:xfrm>
            <a:off x="4713095" y="4773516"/>
            <a:ext cx="288000" cy="2942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5" name="Pijl: links 14">
            <a:extLst>
              <a:ext uri="{FF2B5EF4-FFF2-40B4-BE49-F238E27FC236}">
                <a16:creationId xmlns:a16="http://schemas.microsoft.com/office/drawing/2014/main" id="{0C7C6683-0B25-4B22-9CB6-0A0D6ADEB654}"/>
              </a:ext>
            </a:extLst>
          </xdr:cNvPr>
          <xdr:cNvSpPr/>
        </xdr:nvSpPr>
        <xdr:spPr>
          <a:xfrm>
            <a:off x="4736888" y="4832346"/>
            <a:ext cx="224117" cy="176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149308</xdr:colOff>
      <xdr:row>18</xdr:row>
      <xdr:rowOff>0</xdr:rowOff>
    </xdr:from>
    <xdr:to>
      <xdr:col>0</xdr:col>
      <xdr:colOff>422068</xdr:colOff>
      <xdr:row>19</xdr:row>
      <xdr:rowOff>111246</xdr:rowOff>
    </xdr:to>
    <xdr:grpSp>
      <xdr:nvGrpSpPr>
        <xdr:cNvPr id="17" name="Groep 16">
          <a:hlinkClick xmlns:r="http://schemas.openxmlformats.org/officeDocument/2006/relationships" r:id="rId7"/>
          <a:extLst>
            <a:ext uri="{FF2B5EF4-FFF2-40B4-BE49-F238E27FC236}">
              <a16:creationId xmlns:a16="http://schemas.microsoft.com/office/drawing/2014/main" id="{FB03F136-B41A-47DF-AB10-5A63DE409848}"/>
            </a:ext>
          </a:extLst>
        </xdr:cNvPr>
        <xdr:cNvGrpSpPr/>
      </xdr:nvGrpSpPr>
      <xdr:grpSpPr>
        <a:xfrm>
          <a:off x="149308" y="3558988"/>
          <a:ext cx="272760" cy="299505"/>
          <a:chOff x="4713095" y="4773511"/>
          <a:chExt cx="288000" cy="294237"/>
        </a:xfrm>
      </xdr:grpSpPr>
      <xdr:sp macro="" textlink="">
        <xdr:nvSpPr>
          <xdr:cNvPr id="18" name="Ovaal 17">
            <a:extLst>
              <a:ext uri="{FF2B5EF4-FFF2-40B4-BE49-F238E27FC236}">
                <a16:creationId xmlns:a16="http://schemas.microsoft.com/office/drawing/2014/main" id="{59BFE54F-2DCC-4A6F-85DD-E57E34A8786C}"/>
              </a:ext>
            </a:extLst>
          </xdr:cNvPr>
          <xdr:cNvSpPr/>
        </xdr:nvSpPr>
        <xdr:spPr>
          <a:xfrm>
            <a:off x="4713095" y="4773511"/>
            <a:ext cx="288000" cy="2942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9" name="Pijl: links 18">
            <a:extLst>
              <a:ext uri="{FF2B5EF4-FFF2-40B4-BE49-F238E27FC236}">
                <a16:creationId xmlns:a16="http://schemas.microsoft.com/office/drawing/2014/main" id="{D03B2989-BF36-4A6A-BE1D-53A5ECD28F32}"/>
              </a:ext>
            </a:extLst>
          </xdr:cNvPr>
          <xdr:cNvSpPr/>
        </xdr:nvSpPr>
        <xdr:spPr>
          <a:xfrm>
            <a:off x="4736888" y="4832346"/>
            <a:ext cx="224117" cy="176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139148</xdr:colOff>
      <xdr:row>35</xdr:row>
      <xdr:rowOff>72887</xdr:rowOff>
    </xdr:from>
    <xdr:to>
      <xdr:col>0</xdr:col>
      <xdr:colOff>427148</xdr:colOff>
      <xdr:row>37</xdr:row>
      <xdr:rowOff>2299</xdr:rowOff>
    </xdr:to>
    <xdr:grpSp>
      <xdr:nvGrpSpPr>
        <xdr:cNvPr id="20" name="Groep 19">
          <a:hlinkClick xmlns:r="http://schemas.openxmlformats.org/officeDocument/2006/relationships" r:id="rId8"/>
          <a:extLst>
            <a:ext uri="{FF2B5EF4-FFF2-40B4-BE49-F238E27FC236}">
              <a16:creationId xmlns:a16="http://schemas.microsoft.com/office/drawing/2014/main" id="{70AC0F74-E7AD-42BA-9FC5-658E7BC12471}"/>
            </a:ext>
          </a:extLst>
        </xdr:cNvPr>
        <xdr:cNvGrpSpPr/>
      </xdr:nvGrpSpPr>
      <xdr:grpSpPr>
        <a:xfrm>
          <a:off x="139148" y="6832275"/>
          <a:ext cx="288000" cy="305930"/>
          <a:chOff x="4713095" y="4773516"/>
          <a:chExt cx="288000" cy="294237"/>
        </a:xfrm>
      </xdr:grpSpPr>
      <xdr:sp macro="" textlink="">
        <xdr:nvSpPr>
          <xdr:cNvPr id="21" name="Ovaal 20">
            <a:extLst>
              <a:ext uri="{FF2B5EF4-FFF2-40B4-BE49-F238E27FC236}">
                <a16:creationId xmlns:a16="http://schemas.microsoft.com/office/drawing/2014/main" id="{9525566D-CE8B-419E-AE7F-30465002C47D}"/>
              </a:ext>
            </a:extLst>
          </xdr:cNvPr>
          <xdr:cNvSpPr/>
        </xdr:nvSpPr>
        <xdr:spPr>
          <a:xfrm>
            <a:off x="4713095" y="4773516"/>
            <a:ext cx="288000" cy="2942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22" name="Pijl: links 21">
            <a:extLst>
              <a:ext uri="{FF2B5EF4-FFF2-40B4-BE49-F238E27FC236}">
                <a16:creationId xmlns:a16="http://schemas.microsoft.com/office/drawing/2014/main" id="{F3146426-40DA-4397-A24A-7A74416C9A4F}"/>
              </a:ext>
            </a:extLst>
          </xdr:cNvPr>
          <xdr:cNvSpPr/>
        </xdr:nvSpPr>
        <xdr:spPr>
          <a:xfrm>
            <a:off x="4736888" y="4832346"/>
            <a:ext cx="224117" cy="176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139148</xdr:colOff>
      <xdr:row>79</xdr:row>
      <xdr:rowOff>62754</xdr:rowOff>
    </xdr:from>
    <xdr:to>
      <xdr:col>0</xdr:col>
      <xdr:colOff>427148</xdr:colOff>
      <xdr:row>80</xdr:row>
      <xdr:rowOff>171460</xdr:rowOff>
    </xdr:to>
    <xdr:grpSp>
      <xdr:nvGrpSpPr>
        <xdr:cNvPr id="23" name="Groep 22">
          <a:hlinkClick xmlns:r="http://schemas.openxmlformats.org/officeDocument/2006/relationships" r:id="rId9"/>
          <a:extLst>
            <a:ext uri="{FF2B5EF4-FFF2-40B4-BE49-F238E27FC236}">
              <a16:creationId xmlns:a16="http://schemas.microsoft.com/office/drawing/2014/main" id="{D7B38AA1-EA52-4152-A7EE-9604BBA04908}"/>
            </a:ext>
          </a:extLst>
        </xdr:cNvPr>
        <xdr:cNvGrpSpPr/>
      </xdr:nvGrpSpPr>
      <xdr:grpSpPr>
        <a:xfrm>
          <a:off x="139148" y="15105530"/>
          <a:ext cx="288000" cy="296965"/>
          <a:chOff x="4713095" y="4773516"/>
          <a:chExt cx="288000" cy="294237"/>
        </a:xfrm>
      </xdr:grpSpPr>
      <xdr:sp macro="" textlink="">
        <xdr:nvSpPr>
          <xdr:cNvPr id="24" name="Ovaal 23">
            <a:extLst>
              <a:ext uri="{FF2B5EF4-FFF2-40B4-BE49-F238E27FC236}">
                <a16:creationId xmlns:a16="http://schemas.microsoft.com/office/drawing/2014/main" id="{02BE0852-E4B7-4B53-9E09-0A499FB54B57}"/>
              </a:ext>
            </a:extLst>
          </xdr:cNvPr>
          <xdr:cNvSpPr/>
        </xdr:nvSpPr>
        <xdr:spPr>
          <a:xfrm>
            <a:off x="4713095" y="4773516"/>
            <a:ext cx="288000" cy="2942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25" name="Pijl: links 24">
            <a:extLst>
              <a:ext uri="{FF2B5EF4-FFF2-40B4-BE49-F238E27FC236}">
                <a16:creationId xmlns:a16="http://schemas.microsoft.com/office/drawing/2014/main" id="{40674BEE-E708-4D46-B350-7F4776574B9B}"/>
              </a:ext>
            </a:extLst>
          </xdr:cNvPr>
          <xdr:cNvSpPr/>
        </xdr:nvSpPr>
        <xdr:spPr>
          <a:xfrm>
            <a:off x="4736888" y="4832346"/>
            <a:ext cx="224117" cy="176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139148</xdr:colOff>
      <xdr:row>87</xdr:row>
      <xdr:rowOff>89650</xdr:rowOff>
    </xdr:from>
    <xdr:to>
      <xdr:col>0</xdr:col>
      <xdr:colOff>427148</xdr:colOff>
      <xdr:row>89</xdr:row>
      <xdr:rowOff>19062</xdr:rowOff>
    </xdr:to>
    <xdr:grpSp>
      <xdr:nvGrpSpPr>
        <xdr:cNvPr id="26" name="Groep 25">
          <a:hlinkClick xmlns:r="http://schemas.openxmlformats.org/officeDocument/2006/relationships" r:id="rId10"/>
          <a:extLst>
            <a:ext uri="{FF2B5EF4-FFF2-40B4-BE49-F238E27FC236}">
              <a16:creationId xmlns:a16="http://schemas.microsoft.com/office/drawing/2014/main" id="{D504F47B-0B1A-4AC1-B863-4E7E4FE3A50D}"/>
            </a:ext>
          </a:extLst>
        </xdr:cNvPr>
        <xdr:cNvGrpSpPr/>
      </xdr:nvGrpSpPr>
      <xdr:grpSpPr>
        <a:xfrm>
          <a:off x="139148" y="16638497"/>
          <a:ext cx="288000" cy="305930"/>
          <a:chOff x="4713095" y="4773516"/>
          <a:chExt cx="288000" cy="294237"/>
        </a:xfrm>
      </xdr:grpSpPr>
      <xdr:sp macro="" textlink="">
        <xdr:nvSpPr>
          <xdr:cNvPr id="27" name="Ovaal 26">
            <a:extLst>
              <a:ext uri="{FF2B5EF4-FFF2-40B4-BE49-F238E27FC236}">
                <a16:creationId xmlns:a16="http://schemas.microsoft.com/office/drawing/2014/main" id="{D58B1A91-1D30-4EFD-8961-F684C29EEF83}"/>
              </a:ext>
            </a:extLst>
          </xdr:cNvPr>
          <xdr:cNvSpPr/>
        </xdr:nvSpPr>
        <xdr:spPr>
          <a:xfrm>
            <a:off x="4713095" y="4773516"/>
            <a:ext cx="288000" cy="2942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28" name="Pijl: links 27">
            <a:extLst>
              <a:ext uri="{FF2B5EF4-FFF2-40B4-BE49-F238E27FC236}">
                <a16:creationId xmlns:a16="http://schemas.microsoft.com/office/drawing/2014/main" id="{3AA669EE-9517-4659-9AB8-50564D117B98}"/>
              </a:ext>
            </a:extLst>
          </xdr:cNvPr>
          <xdr:cNvSpPr/>
        </xdr:nvSpPr>
        <xdr:spPr>
          <a:xfrm>
            <a:off x="4736888" y="4832346"/>
            <a:ext cx="224117" cy="176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139148</xdr:colOff>
      <xdr:row>3</xdr:row>
      <xdr:rowOff>134465</xdr:rowOff>
    </xdr:from>
    <xdr:to>
      <xdr:col>0</xdr:col>
      <xdr:colOff>427148</xdr:colOff>
      <xdr:row>5</xdr:row>
      <xdr:rowOff>41464</xdr:rowOff>
    </xdr:to>
    <xdr:grpSp>
      <xdr:nvGrpSpPr>
        <xdr:cNvPr id="29" name="Groep 28">
          <a:hlinkClick xmlns:r="http://schemas.openxmlformats.org/officeDocument/2006/relationships" r:id="rId7"/>
          <a:extLst>
            <a:ext uri="{FF2B5EF4-FFF2-40B4-BE49-F238E27FC236}">
              <a16:creationId xmlns:a16="http://schemas.microsoft.com/office/drawing/2014/main" id="{3B65FF02-E4FB-4A0F-9A68-076CA1816512}"/>
            </a:ext>
          </a:extLst>
        </xdr:cNvPr>
        <xdr:cNvGrpSpPr/>
      </xdr:nvGrpSpPr>
      <xdr:grpSpPr>
        <a:xfrm>
          <a:off x="139148" y="869571"/>
          <a:ext cx="288000" cy="283517"/>
          <a:chOff x="4713095" y="4773511"/>
          <a:chExt cx="288000" cy="294237"/>
        </a:xfrm>
      </xdr:grpSpPr>
      <xdr:sp macro="" textlink="">
        <xdr:nvSpPr>
          <xdr:cNvPr id="30" name="Ovaal 29">
            <a:extLst>
              <a:ext uri="{FF2B5EF4-FFF2-40B4-BE49-F238E27FC236}">
                <a16:creationId xmlns:a16="http://schemas.microsoft.com/office/drawing/2014/main" id="{95FDF938-10CD-4F80-964B-580E95C9B4A2}"/>
              </a:ext>
            </a:extLst>
          </xdr:cNvPr>
          <xdr:cNvSpPr/>
        </xdr:nvSpPr>
        <xdr:spPr>
          <a:xfrm>
            <a:off x="4713095" y="4773511"/>
            <a:ext cx="288000" cy="2942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31" name="Pijl: links 30">
            <a:extLst>
              <a:ext uri="{FF2B5EF4-FFF2-40B4-BE49-F238E27FC236}">
                <a16:creationId xmlns:a16="http://schemas.microsoft.com/office/drawing/2014/main" id="{F8832219-4B28-4191-B0B9-0E636FD5E568}"/>
              </a:ext>
            </a:extLst>
          </xdr:cNvPr>
          <xdr:cNvSpPr/>
        </xdr:nvSpPr>
        <xdr:spPr>
          <a:xfrm>
            <a:off x="4736888" y="4832346"/>
            <a:ext cx="224117" cy="176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139148</xdr:colOff>
      <xdr:row>69</xdr:row>
      <xdr:rowOff>100854</xdr:rowOff>
    </xdr:from>
    <xdr:to>
      <xdr:col>0</xdr:col>
      <xdr:colOff>427148</xdr:colOff>
      <xdr:row>71</xdr:row>
      <xdr:rowOff>9535</xdr:rowOff>
    </xdr:to>
    <xdr:grpSp>
      <xdr:nvGrpSpPr>
        <xdr:cNvPr id="32" name="Groep 31">
          <a:hlinkClick xmlns:r="http://schemas.openxmlformats.org/officeDocument/2006/relationships" r:id="rId11"/>
          <a:extLst>
            <a:ext uri="{FF2B5EF4-FFF2-40B4-BE49-F238E27FC236}">
              <a16:creationId xmlns:a16="http://schemas.microsoft.com/office/drawing/2014/main" id="{F43A2D7F-3D88-4480-8481-0D600E7ACA02}"/>
            </a:ext>
          </a:extLst>
        </xdr:cNvPr>
        <xdr:cNvGrpSpPr/>
      </xdr:nvGrpSpPr>
      <xdr:grpSpPr>
        <a:xfrm>
          <a:off x="139148" y="13261042"/>
          <a:ext cx="288000" cy="285199"/>
          <a:chOff x="4713095" y="4773516"/>
          <a:chExt cx="288000" cy="294237"/>
        </a:xfrm>
      </xdr:grpSpPr>
      <xdr:sp macro="" textlink="">
        <xdr:nvSpPr>
          <xdr:cNvPr id="33" name="Ovaal 32">
            <a:extLst>
              <a:ext uri="{FF2B5EF4-FFF2-40B4-BE49-F238E27FC236}">
                <a16:creationId xmlns:a16="http://schemas.microsoft.com/office/drawing/2014/main" id="{8495B222-B96A-47E2-BD4C-CFD3A060846D}"/>
              </a:ext>
            </a:extLst>
          </xdr:cNvPr>
          <xdr:cNvSpPr/>
        </xdr:nvSpPr>
        <xdr:spPr>
          <a:xfrm>
            <a:off x="4713095" y="4773516"/>
            <a:ext cx="288000" cy="2942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34" name="Pijl: links 33">
            <a:extLst>
              <a:ext uri="{FF2B5EF4-FFF2-40B4-BE49-F238E27FC236}">
                <a16:creationId xmlns:a16="http://schemas.microsoft.com/office/drawing/2014/main" id="{DC88EAE5-7D14-4FD9-9213-5B85A7FF8B73}"/>
              </a:ext>
            </a:extLst>
          </xdr:cNvPr>
          <xdr:cNvSpPr/>
        </xdr:nvSpPr>
        <xdr:spPr>
          <a:xfrm>
            <a:off x="4736888" y="4832346"/>
            <a:ext cx="224117" cy="176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145676</xdr:colOff>
      <xdr:row>162</xdr:row>
      <xdr:rowOff>112058</xdr:rowOff>
    </xdr:from>
    <xdr:to>
      <xdr:col>0</xdr:col>
      <xdr:colOff>433676</xdr:colOff>
      <xdr:row>164</xdr:row>
      <xdr:rowOff>0</xdr:rowOff>
    </xdr:to>
    <xdr:grpSp>
      <xdr:nvGrpSpPr>
        <xdr:cNvPr id="38" name="Groep 37">
          <a:hlinkClick xmlns:r="http://schemas.openxmlformats.org/officeDocument/2006/relationships" r:id="rId12"/>
          <a:extLst>
            <a:ext uri="{FF2B5EF4-FFF2-40B4-BE49-F238E27FC236}">
              <a16:creationId xmlns:a16="http://schemas.microsoft.com/office/drawing/2014/main" id="{C0506D63-FC54-4973-9FC4-C555F72698A0}"/>
            </a:ext>
          </a:extLst>
        </xdr:cNvPr>
        <xdr:cNvGrpSpPr/>
      </xdr:nvGrpSpPr>
      <xdr:grpSpPr>
        <a:xfrm>
          <a:off x="145676" y="30869964"/>
          <a:ext cx="288000" cy="264460"/>
          <a:chOff x="4713095" y="4773516"/>
          <a:chExt cx="288000" cy="294237"/>
        </a:xfrm>
      </xdr:grpSpPr>
      <xdr:sp macro="" textlink="">
        <xdr:nvSpPr>
          <xdr:cNvPr id="39" name="Ovaal 38">
            <a:extLst>
              <a:ext uri="{FF2B5EF4-FFF2-40B4-BE49-F238E27FC236}">
                <a16:creationId xmlns:a16="http://schemas.microsoft.com/office/drawing/2014/main" id="{C477039F-C5FE-4C97-8D44-C230AE7205B7}"/>
              </a:ext>
            </a:extLst>
          </xdr:cNvPr>
          <xdr:cNvSpPr/>
        </xdr:nvSpPr>
        <xdr:spPr>
          <a:xfrm>
            <a:off x="4713095" y="4773516"/>
            <a:ext cx="288000" cy="2942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40" name="Pijl: links 39">
            <a:extLst>
              <a:ext uri="{FF2B5EF4-FFF2-40B4-BE49-F238E27FC236}">
                <a16:creationId xmlns:a16="http://schemas.microsoft.com/office/drawing/2014/main" id="{9D5EB7EF-3055-4E0D-917C-1CDF24857A57}"/>
              </a:ext>
            </a:extLst>
          </xdr:cNvPr>
          <xdr:cNvSpPr/>
        </xdr:nvSpPr>
        <xdr:spPr>
          <a:xfrm>
            <a:off x="4736888" y="4832346"/>
            <a:ext cx="224117" cy="1765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editAs="oneCell">
    <xdr:from>
      <xdr:col>2</xdr:col>
      <xdr:colOff>9102395</xdr:colOff>
      <xdr:row>0</xdr:row>
      <xdr:rowOff>0</xdr:rowOff>
    </xdr:from>
    <xdr:to>
      <xdr:col>3</xdr:col>
      <xdr:colOff>0</xdr:colOff>
      <xdr:row>3</xdr:row>
      <xdr:rowOff>187587</xdr:rowOff>
    </xdr:to>
    <xdr:pic>
      <xdr:nvPicPr>
        <xdr:cNvPr id="35" name="Afbeelding 34">
          <a:extLst>
            <a:ext uri="{FF2B5EF4-FFF2-40B4-BE49-F238E27FC236}">
              <a16:creationId xmlns:a16="http://schemas.microsoft.com/office/drawing/2014/main" id="{F5A89F3B-F774-4D02-AC34-5B9D673986D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176045" y="0"/>
          <a:ext cx="2143455" cy="904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2325653</xdr:colOff>
      <xdr:row>36</xdr:row>
      <xdr:rowOff>193043</xdr:rowOff>
    </xdr:from>
    <xdr:to>
      <xdr:col>1</xdr:col>
      <xdr:colOff>2473463</xdr:colOff>
      <xdr:row>37</xdr:row>
      <xdr:rowOff>145053</xdr:rowOff>
    </xdr:to>
    <xdr:sp macro="" textlink="">
      <xdr:nvSpPr>
        <xdr:cNvPr id="2" name="Ovaal 1">
          <a:hlinkClick xmlns:r="http://schemas.openxmlformats.org/officeDocument/2006/relationships" r:id="rId1"/>
          <a:extLst>
            <a:ext uri="{FF2B5EF4-FFF2-40B4-BE49-F238E27FC236}">
              <a16:creationId xmlns:a16="http://schemas.microsoft.com/office/drawing/2014/main" id="{841B083C-A13F-4655-9857-8AF9177FD2CF}"/>
            </a:ext>
          </a:extLst>
        </xdr:cNvPr>
        <xdr:cNvSpPr>
          <a:spLocks/>
        </xdr:cNvSpPr>
      </xdr:nvSpPr>
      <xdr:spPr>
        <a:xfrm>
          <a:off x="2712175" y="7779913"/>
          <a:ext cx="147810" cy="14527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xdr:from>
      <xdr:col>1</xdr:col>
      <xdr:colOff>1365951</xdr:colOff>
      <xdr:row>4</xdr:row>
      <xdr:rowOff>0</xdr:rowOff>
    </xdr:from>
    <xdr:to>
      <xdr:col>1</xdr:col>
      <xdr:colOff>1509951</xdr:colOff>
      <xdr:row>4</xdr:row>
      <xdr:rowOff>144000</xdr:rowOff>
    </xdr:to>
    <xdr:sp macro="" textlink="">
      <xdr:nvSpPr>
        <xdr:cNvPr id="3" name="Ovaal 2">
          <a:hlinkClick xmlns:r="http://schemas.openxmlformats.org/officeDocument/2006/relationships" r:id="rId2"/>
          <a:extLst>
            <a:ext uri="{FF2B5EF4-FFF2-40B4-BE49-F238E27FC236}">
              <a16:creationId xmlns:a16="http://schemas.microsoft.com/office/drawing/2014/main" id="{D88A44A3-9DAF-411D-8E2A-C6FB755565E2}"/>
            </a:ext>
          </a:extLst>
        </xdr:cNvPr>
        <xdr:cNvSpPr>
          <a:spLocks noChangeAspect="1"/>
        </xdr:cNvSpPr>
      </xdr:nvSpPr>
      <xdr:spPr>
        <a:xfrm>
          <a:off x="1752473" y="866913"/>
          <a:ext cx="144000" cy="144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xdr:from>
      <xdr:col>1</xdr:col>
      <xdr:colOff>1365951</xdr:colOff>
      <xdr:row>12</xdr:row>
      <xdr:rowOff>2615</xdr:rowOff>
    </xdr:from>
    <xdr:to>
      <xdr:col>1</xdr:col>
      <xdr:colOff>1509951</xdr:colOff>
      <xdr:row>12</xdr:row>
      <xdr:rowOff>146615</xdr:rowOff>
    </xdr:to>
    <xdr:sp macro="" textlink="">
      <xdr:nvSpPr>
        <xdr:cNvPr id="5" name="Ovaal 4">
          <a:hlinkClick xmlns:r="http://schemas.openxmlformats.org/officeDocument/2006/relationships" r:id="rId3"/>
          <a:extLst>
            <a:ext uri="{FF2B5EF4-FFF2-40B4-BE49-F238E27FC236}">
              <a16:creationId xmlns:a16="http://schemas.microsoft.com/office/drawing/2014/main" id="{DD50A8B8-04D4-479D-9CE6-A7FB9A459E2A}"/>
            </a:ext>
          </a:extLst>
        </xdr:cNvPr>
        <xdr:cNvSpPr>
          <a:spLocks noChangeAspect="1"/>
        </xdr:cNvSpPr>
      </xdr:nvSpPr>
      <xdr:spPr>
        <a:xfrm>
          <a:off x="1752473" y="2404572"/>
          <a:ext cx="144000" cy="144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xdr:from>
      <xdr:col>1</xdr:col>
      <xdr:colOff>1368490</xdr:colOff>
      <xdr:row>20</xdr:row>
      <xdr:rowOff>35070</xdr:rowOff>
    </xdr:from>
    <xdr:to>
      <xdr:col>1</xdr:col>
      <xdr:colOff>1516300</xdr:colOff>
      <xdr:row>20</xdr:row>
      <xdr:rowOff>181610</xdr:rowOff>
    </xdr:to>
    <xdr:sp macro="" textlink="">
      <xdr:nvSpPr>
        <xdr:cNvPr id="7" name="Ovaal 6">
          <a:hlinkClick xmlns:r="http://schemas.openxmlformats.org/officeDocument/2006/relationships" r:id="rId4"/>
          <a:extLst>
            <a:ext uri="{FF2B5EF4-FFF2-40B4-BE49-F238E27FC236}">
              <a16:creationId xmlns:a16="http://schemas.microsoft.com/office/drawing/2014/main" id="{720BB397-57FD-4542-91F2-D1948BF3DD31}"/>
            </a:ext>
          </a:extLst>
        </xdr:cNvPr>
        <xdr:cNvSpPr>
          <a:spLocks/>
        </xdr:cNvSpPr>
      </xdr:nvSpPr>
      <xdr:spPr>
        <a:xfrm>
          <a:off x="1755012" y="4159809"/>
          <a:ext cx="147810" cy="1465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xdr:from>
      <xdr:col>1</xdr:col>
      <xdr:colOff>1365698</xdr:colOff>
      <xdr:row>32</xdr:row>
      <xdr:rowOff>69445</xdr:rowOff>
    </xdr:from>
    <xdr:to>
      <xdr:col>1</xdr:col>
      <xdr:colOff>1514778</xdr:colOff>
      <xdr:row>32</xdr:row>
      <xdr:rowOff>218525</xdr:rowOff>
    </xdr:to>
    <xdr:sp macro="" textlink="">
      <xdr:nvSpPr>
        <xdr:cNvPr id="8" name="Ovaal 7">
          <a:hlinkClick xmlns:r="http://schemas.openxmlformats.org/officeDocument/2006/relationships" r:id="rId5"/>
          <a:extLst>
            <a:ext uri="{FF2B5EF4-FFF2-40B4-BE49-F238E27FC236}">
              <a16:creationId xmlns:a16="http://schemas.microsoft.com/office/drawing/2014/main" id="{5F8A5F67-A49B-4E30-8361-919256F8B266}"/>
            </a:ext>
          </a:extLst>
        </xdr:cNvPr>
        <xdr:cNvSpPr>
          <a:spLocks/>
        </xdr:cNvSpPr>
      </xdr:nvSpPr>
      <xdr:spPr>
        <a:xfrm>
          <a:off x="1752220" y="6805967"/>
          <a:ext cx="149080" cy="1490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0</xdr:col>
      <xdr:colOff>231748</xdr:colOff>
      <xdr:row>1</xdr:row>
      <xdr:rowOff>3627</xdr:rowOff>
    </xdr:from>
    <xdr:to>
      <xdr:col>0</xdr:col>
      <xdr:colOff>384003</xdr:colOff>
      <xdr:row>1</xdr:row>
      <xdr:rowOff>155247</xdr:rowOff>
    </xdr:to>
    <xdr:sp macro="" textlink="">
      <xdr:nvSpPr>
        <xdr:cNvPr id="9" name="Ovaal 8">
          <a:hlinkClick xmlns:r="http://schemas.openxmlformats.org/officeDocument/2006/relationships" r:id="rId6"/>
          <a:extLst>
            <a:ext uri="{FF2B5EF4-FFF2-40B4-BE49-F238E27FC236}">
              <a16:creationId xmlns:a16="http://schemas.microsoft.com/office/drawing/2014/main" id="{319E0DF1-D08A-4944-B0C7-6C5AD514AFC0}"/>
            </a:ext>
          </a:extLst>
        </xdr:cNvPr>
        <xdr:cNvSpPr>
          <a:spLocks noChangeAspect="1"/>
        </xdr:cNvSpPr>
      </xdr:nvSpPr>
      <xdr:spPr>
        <a:xfrm>
          <a:off x="236828" y="187777"/>
          <a:ext cx="145270" cy="14527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xdr:from>
      <xdr:col>2</xdr:col>
      <xdr:colOff>196996</xdr:colOff>
      <xdr:row>24</xdr:row>
      <xdr:rowOff>175205</xdr:rowOff>
    </xdr:from>
    <xdr:to>
      <xdr:col>2</xdr:col>
      <xdr:colOff>336551</xdr:colOff>
      <xdr:row>25</xdr:row>
      <xdr:rowOff>126800</xdr:rowOff>
    </xdr:to>
    <xdr:sp macro="" textlink="">
      <xdr:nvSpPr>
        <xdr:cNvPr id="10" name="Ovaal 9">
          <a:hlinkClick xmlns:r="http://schemas.openxmlformats.org/officeDocument/2006/relationships" r:id="rId7"/>
          <a:extLst>
            <a:ext uri="{FF2B5EF4-FFF2-40B4-BE49-F238E27FC236}">
              <a16:creationId xmlns:a16="http://schemas.microsoft.com/office/drawing/2014/main" id="{3F39302A-2B8A-4431-95AE-9FA1688E383C}"/>
            </a:ext>
          </a:extLst>
        </xdr:cNvPr>
        <xdr:cNvSpPr>
          <a:spLocks noChangeAspect="1"/>
        </xdr:cNvSpPr>
      </xdr:nvSpPr>
      <xdr:spPr>
        <a:xfrm>
          <a:off x="3935213" y="5155814"/>
          <a:ext cx="139555" cy="14485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xdr:from>
      <xdr:col>1</xdr:col>
      <xdr:colOff>1365698</xdr:colOff>
      <xdr:row>52</xdr:row>
      <xdr:rowOff>3052</xdr:rowOff>
    </xdr:from>
    <xdr:to>
      <xdr:col>1</xdr:col>
      <xdr:colOff>1513508</xdr:colOff>
      <xdr:row>52</xdr:row>
      <xdr:rowOff>149592</xdr:rowOff>
    </xdr:to>
    <xdr:sp macro="" textlink="">
      <xdr:nvSpPr>
        <xdr:cNvPr id="11" name="Ovaal 10">
          <a:hlinkClick xmlns:r="http://schemas.openxmlformats.org/officeDocument/2006/relationships" r:id="rId5"/>
          <a:extLst>
            <a:ext uri="{FF2B5EF4-FFF2-40B4-BE49-F238E27FC236}">
              <a16:creationId xmlns:a16="http://schemas.microsoft.com/office/drawing/2014/main" id="{0134D38E-B97D-4DD6-A149-405C5CD5E75D}"/>
            </a:ext>
          </a:extLst>
        </xdr:cNvPr>
        <xdr:cNvSpPr>
          <a:spLocks/>
        </xdr:cNvSpPr>
      </xdr:nvSpPr>
      <xdr:spPr>
        <a:xfrm>
          <a:off x="1752220" y="10858791"/>
          <a:ext cx="147810" cy="1465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xdr:from>
      <xdr:col>1</xdr:col>
      <xdr:colOff>1361888</xdr:colOff>
      <xdr:row>72</xdr:row>
      <xdr:rowOff>5846</xdr:rowOff>
    </xdr:from>
    <xdr:to>
      <xdr:col>1</xdr:col>
      <xdr:colOff>1507793</xdr:colOff>
      <xdr:row>72</xdr:row>
      <xdr:rowOff>156196</xdr:rowOff>
    </xdr:to>
    <xdr:sp macro="" textlink="">
      <xdr:nvSpPr>
        <xdr:cNvPr id="12" name="Ovaal 11">
          <a:hlinkClick xmlns:r="http://schemas.openxmlformats.org/officeDocument/2006/relationships" r:id="rId5"/>
          <a:extLst>
            <a:ext uri="{FF2B5EF4-FFF2-40B4-BE49-F238E27FC236}">
              <a16:creationId xmlns:a16="http://schemas.microsoft.com/office/drawing/2014/main" id="{1F821001-2C1F-4F37-B039-3941E2C7012E}"/>
            </a:ext>
          </a:extLst>
        </xdr:cNvPr>
        <xdr:cNvSpPr>
          <a:spLocks noChangeAspect="1"/>
        </xdr:cNvSpPr>
      </xdr:nvSpPr>
      <xdr:spPr>
        <a:xfrm>
          <a:off x="1752413" y="14760071"/>
          <a:ext cx="145905" cy="150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1368238</xdr:colOff>
      <xdr:row>92</xdr:row>
      <xdr:rowOff>355</xdr:rowOff>
    </xdr:from>
    <xdr:to>
      <xdr:col>1</xdr:col>
      <xdr:colOff>1521128</xdr:colOff>
      <xdr:row>92</xdr:row>
      <xdr:rowOff>149435</xdr:rowOff>
    </xdr:to>
    <xdr:sp macro="" textlink="">
      <xdr:nvSpPr>
        <xdr:cNvPr id="13" name="Ovaal 12">
          <a:hlinkClick xmlns:r="http://schemas.openxmlformats.org/officeDocument/2006/relationships" r:id="rId5"/>
          <a:extLst>
            <a:ext uri="{FF2B5EF4-FFF2-40B4-BE49-F238E27FC236}">
              <a16:creationId xmlns:a16="http://schemas.microsoft.com/office/drawing/2014/main" id="{E123894D-AA03-458A-B125-4141AE1DD2D7}"/>
            </a:ext>
          </a:extLst>
        </xdr:cNvPr>
        <xdr:cNvSpPr>
          <a:spLocks/>
        </xdr:cNvSpPr>
      </xdr:nvSpPr>
      <xdr:spPr>
        <a:xfrm>
          <a:off x="1752220" y="18939920"/>
          <a:ext cx="147810" cy="144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1368238</xdr:colOff>
      <xdr:row>112</xdr:row>
      <xdr:rowOff>3479</xdr:rowOff>
    </xdr:from>
    <xdr:to>
      <xdr:col>1</xdr:col>
      <xdr:colOff>1521128</xdr:colOff>
      <xdr:row>112</xdr:row>
      <xdr:rowOff>155099</xdr:rowOff>
    </xdr:to>
    <xdr:sp macro="" textlink="">
      <xdr:nvSpPr>
        <xdr:cNvPr id="14" name="Ovaal 13">
          <a:hlinkClick xmlns:r="http://schemas.openxmlformats.org/officeDocument/2006/relationships" r:id="rId5"/>
          <a:extLst>
            <a:ext uri="{FF2B5EF4-FFF2-40B4-BE49-F238E27FC236}">
              <a16:creationId xmlns:a16="http://schemas.microsoft.com/office/drawing/2014/main" id="{C75A97A2-6677-4C67-AF18-7C86C957D7E5}"/>
            </a:ext>
          </a:extLst>
        </xdr:cNvPr>
        <xdr:cNvSpPr>
          <a:spLocks/>
        </xdr:cNvSpPr>
      </xdr:nvSpPr>
      <xdr:spPr>
        <a:xfrm>
          <a:off x="1752220" y="22995117"/>
          <a:ext cx="147810" cy="14781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1368238</xdr:colOff>
      <xdr:row>132</xdr:row>
      <xdr:rowOff>760</xdr:rowOff>
    </xdr:from>
    <xdr:to>
      <xdr:col>1</xdr:col>
      <xdr:colOff>1521128</xdr:colOff>
      <xdr:row>132</xdr:row>
      <xdr:rowOff>149840</xdr:rowOff>
    </xdr:to>
    <xdr:sp macro="" textlink="">
      <xdr:nvSpPr>
        <xdr:cNvPr id="15" name="Ovaal 14">
          <a:hlinkClick xmlns:r="http://schemas.openxmlformats.org/officeDocument/2006/relationships" r:id="rId5"/>
          <a:extLst>
            <a:ext uri="{FF2B5EF4-FFF2-40B4-BE49-F238E27FC236}">
              <a16:creationId xmlns:a16="http://schemas.microsoft.com/office/drawing/2014/main" id="{E02B6479-7821-4431-B1E8-84723C268384}"/>
            </a:ext>
          </a:extLst>
        </xdr:cNvPr>
        <xdr:cNvSpPr>
          <a:spLocks/>
        </xdr:cNvSpPr>
      </xdr:nvSpPr>
      <xdr:spPr>
        <a:xfrm>
          <a:off x="1752220" y="27024151"/>
          <a:ext cx="147810" cy="14527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xdr:from>
      <xdr:col>1</xdr:col>
      <xdr:colOff>1365698</xdr:colOff>
      <xdr:row>152</xdr:row>
      <xdr:rowOff>6427</xdr:rowOff>
    </xdr:from>
    <xdr:to>
      <xdr:col>1</xdr:col>
      <xdr:colOff>1512238</xdr:colOff>
      <xdr:row>152</xdr:row>
      <xdr:rowOff>151697</xdr:rowOff>
    </xdr:to>
    <xdr:sp macro="" textlink="">
      <xdr:nvSpPr>
        <xdr:cNvPr id="16" name="Ovaal 15">
          <a:hlinkClick xmlns:r="http://schemas.openxmlformats.org/officeDocument/2006/relationships" r:id="rId5"/>
          <a:extLst>
            <a:ext uri="{FF2B5EF4-FFF2-40B4-BE49-F238E27FC236}">
              <a16:creationId xmlns:a16="http://schemas.microsoft.com/office/drawing/2014/main" id="{D835CC69-1759-4480-8CA5-D35C9F6C952C}"/>
            </a:ext>
          </a:extLst>
        </xdr:cNvPr>
        <xdr:cNvSpPr>
          <a:spLocks/>
        </xdr:cNvSpPr>
      </xdr:nvSpPr>
      <xdr:spPr>
        <a:xfrm>
          <a:off x="1752220" y="31071731"/>
          <a:ext cx="146540" cy="14527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2326923</xdr:colOff>
      <xdr:row>56</xdr:row>
      <xdr:rowOff>187732</xdr:rowOff>
    </xdr:from>
    <xdr:to>
      <xdr:col>1</xdr:col>
      <xdr:colOff>2473463</xdr:colOff>
      <xdr:row>57</xdr:row>
      <xdr:rowOff>148848</xdr:rowOff>
    </xdr:to>
    <xdr:sp macro="" textlink="">
      <xdr:nvSpPr>
        <xdr:cNvPr id="17" name="Ovaal 16">
          <a:hlinkClick xmlns:r="http://schemas.openxmlformats.org/officeDocument/2006/relationships" r:id="rId5"/>
          <a:extLst>
            <a:ext uri="{FF2B5EF4-FFF2-40B4-BE49-F238E27FC236}">
              <a16:creationId xmlns:a16="http://schemas.microsoft.com/office/drawing/2014/main" id="{89A356FF-9020-4F57-A94A-6437F78FA819}"/>
            </a:ext>
          </a:extLst>
        </xdr:cNvPr>
        <xdr:cNvSpPr>
          <a:spLocks/>
        </xdr:cNvSpPr>
      </xdr:nvSpPr>
      <xdr:spPr>
        <a:xfrm>
          <a:off x="2713445" y="11816515"/>
          <a:ext cx="146540" cy="15437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2324383</xdr:colOff>
      <xdr:row>76</xdr:row>
      <xdr:rowOff>189690</xdr:rowOff>
    </xdr:from>
    <xdr:to>
      <xdr:col>1</xdr:col>
      <xdr:colOff>2473463</xdr:colOff>
      <xdr:row>77</xdr:row>
      <xdr:rowOff>150810</xdr:rowOff>
    </xdr:to>
    <xdr:sp macro="" textlink="">
      <xdr:nvSpPr>
        <xdr:cNvPr id="18" name="Ovaal 17">
          <a:hlinkClick xmlns:r="http://schemas.openxmlformats.org/officeDocument/2006/relationships" r:id="rId5"/>
          <a:extLst>
            <a:ext uri="{FF2B5EF4-FFF2-40B4-BE49-F238E27FC236}">
              <a16:creationId xmlns:a16="http://schemas.microsoft.com/office/drawing/2014/main" id="{2E15125B-E75D-4BA1-9A8A-6C0AB255AC86}"/>
            </a:ext>
          </a:extLst>
        </xdr:cNvPr>
        <xdr:cNvSpPr>
          <a:spLocks/>
        </xdr:cNvSpPr>
      </xdr:nvSpPr>
      <xdr:spPr>
        <a:xfrm>
          <a:off x="2714908" y="15705915"/>
          <a:ext cx="149080" cy="1516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2326923</xdr:colOff>
      <xdr:row>96</xdr:row>
      <xdr:rowOff>187612</xdr:rowOff>
    </xdr:from>
    <xdr:to>
      <xdr:col>1</xdr:col>
      <xdr:colOff>2473463</xdr:colOff>
      <xdr:row>97</xdr:row>
      <xdr:rowOff>149781</xdr:rowOff>
    </xdr:to>
    <xdr:sp macro="" textlink="">
      <xdr:nvSpPr>
        <xdr:cNvPr id="19" name="Ovaal 18">
          <a:hlinkClick xmlns:r="http://schemas.openxmlformats.org/officeDocument/2006/relationships" r:id="rId5"/>
          <a:extLst>
            <a:ext uri="{FF2B5EF4-FFF2-40B4-BE49-F238E27FC236}">
              <a16:creationId xmlns:a16="http://schemas.microsoft.com/office/drawing/2014/main" id="{95D5AF19-5689-40D4-98B6-4111F6E6FF55}"/>
            </a:ext>
          </a:extLst>
        </xdr:cNvPr>
        <xdr:cNvSpPr>
          <a:spLocks/>
        </xdr:cNvSpPr>
      </xdr:nvSpPr>
      <xdr:spPr>
        <a:xfrm>
          <a:off x="2717255" y="19900221"/>
          <a:ext cx="142730" cy="1490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2325653</xdr:colOff>
      <xdr:row>117</xdr:row>
      <xdr:rowOff>2795</xdr:rowOff>
    </xdr:from>
    <xdr:to>
      <xdr:col>1</xdr:col>
      <xdr:colOff>2473463</xdr:colOff>
      <xdr:row>117</xdr:row>
      <xdr:rowOff>155685</xdr:rowOff>
    </xdr:to>
    <xdr:sp macro="" textlink="">
      <xdr:nvSpPr>
        <xdr:cNvPr id="20" name="Ovaal 19">
          <a:hlinkClick xmlns:r="http://schemas.openxmlformats.org/officeDocument/2006/relationships" r:id="rId5"/>
          <a:extLst>
            <a:ext uri="{FF2B5EF4-FFF2-40B4-BE49-F238E27FC236}">
              <a16:creationId xmlns:a16="http://schemas.microsoft.com/office/drawing/2014/main" id="{87BD16D1-F64C-4B3E-B14A-7824F0E2DC31}"/>
            </a:ext>
          </a:extLst>
        </xdr:cNvPr>
        <xdr:cNvSpPr>
          <a:spLocks/>
        </xdr:cNvSpPr>
      </xdr:nvSpPr>
      <xdr:spPr>
        <a:xfrm>
          <a:off x="2712175" y="23960738"/>
          <a:ext cx="147810" cy="1490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2325653</xdr:colOff>
      <xdr:row>137</xdr:row>
      <xdr:rowOff>1981</xdr:rowOff>
    </xdr:from>
    <xdr:to>
      <xdr:col>1</xdr:col>
      <xdr:colOff>2473463</xdr:colOff>
      <xdr:row>137</xdr:row>
      <xdr:rowOff>149570</xdr:rowOff>
    </xdr:to>
    <xdr:sp macro="" textlink="">
      <xdr:nvSpPr>
        <xdr:cNvPr id="21" name="Ovaal 20">
          <a:hlinkClick xmlns:r="http://schemas.openxmlformats.org/officeDocument/2006/relationships" r:id="rId5"/>
          <a:extLst>
            <a:ext uri="{FF2B5EF4-FFF2-40B4-BE49-F238E27FC236}">
              <a16:creationId xmlns:a16="http://schemas.microsoft.com/office/drawing/2014/main" id="{6CB031BB-4C30-4115-A92E-D72384F19BAE}"/>
            </a:ext>
          </a:extLst>
        </xdr:cNvPr>
        <xdr:cNvSpPr>
          <a:spLocks/>
        </xdr:cNvSpPr>
      </xdr:nvSpPr>
      <xdr:spPr>
        <a:xfrm>
          <a:off x="2712175" y="27988916"/>
          <a:ext cx="147810" cy="14781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absolute">
    <xdr:from>
      <xdr:col>1</xdr:col>
      <xdr:colOff>2323113</xdr:colOff>
      <xdr:row>156</xdr:row>
      <xdr:rowOff>187911</xdr:rowOff>
    </xdr:from>
    <xdr:to>
      <xdr:col>1</xdr:col>
      <xdr:colOff>2473463</xdr:colOff>
      <xdr:row>157</xdr:row>
      <xdr:rowOff>148810</xdr:rowOff>
    </xdr:to>
    <xdr:sp macro="" textlink="">
      <xdr:nvSpPr>
        <xdr:cNvPr id="22" name="Ovaal 21">
          <a:hlinkClick xmlns:r="http://schemas.openxmlformats.org/officeDocument/2006/relationships" r:id="rId5"/>
          <a:extLst>
            <a:ext uri="{FF2B5EF4-FFF2-40B4-BE49-F238E27FC236}">
              <a16:creationId xmlns:a16="http://schemas.microsoft.com/office/drawing/2014/main" id="{A4F44C3B-FF33-45CC-9599-9E38862A601C}"/>
            </a:ext>
          </a:extLst>
        </xdr:cNvPr>
        <xdr:cNvSpPr>
          <a:spLocks/>
        </xdr:cNvSpPr>
      </xdr:nvSpPr>
      <xdr:spPr>
        <a:xfrm>
          <a:off x="2709635" y="32024989"/>
          <a:ext cx="150350" cy="1465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PrintsWithSheet="0"/>
  </xdr:twoCellAnchor>
  <xdr:twoCellAnchor editAs="oneCell">
    <xdr:from>
      <xdr:col>2</xdr:col>
      <xdr:colOff>2420457</xdr:colOff>
      <xdr:row>0</xdr:row>
      <xdr:rowOff>0</xdr:rowOff>
    </xdr:from>
    <xdr:to>
      <xdr:col>5</xdr:col>
      <xdr:colOff>79707</xdr:colOff>
      <xdr:row>3</xdr:row>
      <xdr:rowOff>111731</xdr:rowOff>
    </xdr:to>
    <xdr:pic>
      <xdr:nvPicPr>
        <xdr:cNvPr id="24" name="Afbeelding 23">
          <a:extLst>
            <a:ext uri="{FF2B5EF4-FFF2-40B4-BE49-F238E27FC236}">
              <a16:creationId xmlns:a16="http://schemas.microsoft.com/office/drawing/2014/main" id="{AB387DA9-0CED-437D-AA31-0BEFC28311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68218" y="0"/>
          <a:ext cx="1909443" cy="797200"/>
        </a:xfrm>
        <a:prstGeom prst="rect">
          <a:avLst/>
        </a:prstGeom>
      </xdr:spPr>
    </xdr:pic>
    <xdr:clientData/>
  </xdr:twoCellAnchor>
  <xdr:twoCellAnchor>
    <xdr:from>
      <xdr:col>8</xdr:col>
      <xdr:colOff>205740</xdr:colOff>
      <xdr:row>4</xdr:row>
      <xdr:rowOff>24765</xdr:rowOff>
    </xdr:from>
    <xdr:to>
      <xdr:col>8</xdr:col>
      <xdr:colOff>358630</xdr:colOff>
      <xdr:row>4</xdr:row>
      <xdr:rowOff>164955</xdr:rowOff>
    </xdr:to>
    <xdr:sp macro="" textlink="" fLocksText="0">
      <xdr:nvSpPr>
        <xdr:cNvPr id="23" name="Ovaal 22">
          <a:hlinkClick xmlns:r="http://schemas.openxmlformats.org/officeDocument/2006/relationships" r:id="rId9"/>
          <a:extLst>
            <a:ext uri="{FF2B5EF4-FFF2-40B4-BE49-F238E27FC236}">
              <a16:creationId xmlns:a16="http://schemas.microsoft.com/office/drawing/2014/main" id="{DAA43766-0CE9-4AA7-AB14-FB84B07A0880}"/>
            </a:ext>
          </a:extLst>
        </xdr:cNvPr>
        <xdr:cNvSpPr>
          <a:spLocks noChangeAspect="1"/>
        </xdr:cNvSpPr>
      </xdr:nvSpPr>
      <xdr:spPr>
        <a:xfrm>
          <a:off x="14493240" y="920115"/>
          <a:ext cx="152890" cy="1401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Trebuchet MS" panose="020B0603020202020204" pitchFamily="34" charset="0"/>
            </a:rPr>
            <a:t>i</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63</xdr:col>
      <xdr:colOff>111269</xdr:colOff>
      <xdr:row>8</xdr:row>
      <xdr:rowOff>190068</xdr:rowOff>
    </xdr:from>
    <xdr:to>
      <xdr:col>76</xdr:col>
      <xdr:colOff>38111</xdr:colOff>
      <xdr:row>14</xdr:row>
      <xdr:rowOff>35005</xdr:rowOff>
    </xdr:to>
    <xdr:pic>
      <xdr:nvPicPr>
        <xdr:cNvPr id="2" name="Afbeelding 1">
          <a:extLst>
            <a:ext uri="{FF2B5EF4-FFF2-40B4-BE49-F238E27FC236}">
              <a16:creationId xmlns:a16="http://schemas.microsoft.com/office/drawing/2014/main" id="{2BF11B6E-E14D-4AEA-BA1C-B6755A122CA3}"/>
            </a:ext>
          </a:extLst>
        </xdr:cNvPr>
        <xdr:cNvPicPr>
          <a:picLocks noChangeAspect="1"/>
        </xdr:cNvPicPr>
      </xdr:nvPicPr>
      <xdr:blipFill>
        <a:blip xmlns:r="http://schemas.openxmlformats.org/officeDocument/2006/relationships" r:embed="rId1"/>
        <a:stretch>
          <a:fillRect/>
        </a:stretch>
      </xdr:blipFill>
      <xdr:spPr>
        <a:xfrm>
          <a:off x="1946996" y="26669568"/>
          <a:ext cx="7806614" cy="980952"/>
        </a:xfrm>
        <a:prstGeom prst="rect">
          <a:avLst/>
        </a:prstGeom>
      </xdr:spPr>
    </xdr:pic>
    <xdr:clientData/>
  </xdr:twoCellAnchor>
  <xdr:twoCellAnchor editAs="oneCell">
    <xdr:from>
      <xdr:col>63</xdr:col>
      <xdr:colOff>81855</xdr:colOff>
      <xdr:row>2</xdr:row>
      <xdr:rowOff>129783</xdr:rowOff>
    </xdr:from>
    <xdr:to>
      <xdr:col>75</xdr:col>
      <xdr:colOff>457617</xdr:colOff>
      <xdr:row>6</xdr:row>
      <xdr:rowOff>79529</xdr:rowOff>
    </xdr:to>
    <xdr:pic>
      <xdr:nvPicPr>
        <xdr:cNvPr id="3" name="Afbeelding 2">
          <a:extLst>
            <a:ext uri="{FF2B5EF4-FFF2-40B4-BE49-F238E27FC236}">
              <a16:creationId xmlns:a16="http://schemas.microsoft.com/office/drawing/2014/main" id="{29D43E31-B549-4CB2-A2A3-F8ECBB085773}"/>
            </a:ext>
          </a:extLst>
        </xdr:cNvPr>
        <xdr:cNvPicPr>
          <a:picLocks noChangeAspect="1"/>
        </xdr:cNvPicPr>
      </xdr:nvPicPr>
      <xdr:blipFill>
        <a:blip xmlns:r="http://schemas.openxmlformats.org/officeDocument/2006/relationships" r:embed="rId2"/>
        <a:stretch>
          <a:fillRect/>
        </a:stretch>
      </xdr:blipFill>
      <xdr:spPr>
        <a:xfrm>
          <a:off x="1917582" y="26228283"/>
          <a:ext cx="7649398" cy="714286"/>
        </a:xfrm>
        <a:prstGeom prst="rect">
          <a:avLst/>
        </a:prstGeom>
      </xdr:spPr>
    </xdr:pic>
    <xdr:clientData/>
  </xdr:twoCellAnchor>
  <xdr:twoCellAnchor editAs="oneCell">
    <xdr:from>
      <xdr:col>62</xdr:col>
      <xdr:colOff>1042988</xdr:colOff>
      <xdr:row>31</xdr:row>
      <xdr:rowOff>86590</xdr:rowOff>
    </xdr:from>
    <xdr:to>
      <xdr:col>75</xdr:col>
      <xdr:colOff>415693</xdr:colOff>
      <xdr:row>37</xdr:row>
      <xdr:rowOff>917</xdr:rowOff>
    </xdr:to>
    <xdr:pic>
      <xdr:nvPicPr>
        <xdr:cNvPr id="4" name="Afbeelding 3">
          <a:extLst>
            <a:ext uri="{FF2B5EF4-FFF2-40B4-BE49-F238E27FC236}">
              <a16:creationId xmlns:a16="http://schemas.microsoft.com/office/drawing/2014/main" id="{427FA8D6-4DDD-43C5-8F11-16434FE1692E}"/>
            </a:ext>
          </a:extLst>
        </xdr:cNvPr>
        <xdr:cNvPicPr>
          <a:picLocks noChangeAspect="1"/>
        </xdr:cNvPicPr>
      </xdr:nvPicPr>
      <xdr:blipFill>
        <a:blip xmlns:r="http://schemas.openxmlformats.org/officeDocument/2006/relationships" r:embed="rId3"/>
        <a:stretch>
          <a:fillRect/>
        </a:stretch>
      </xdr:blipFill>
      <xdr:spPr>
        <a:xfrm>
          <a:off x="1649124" y="15707590"/>
          <a:ext cx="7668576" cy="1038095"/>
        </a:xfrm>
        <a:prstGeom prst="rect">
          <a:avLst/>
        </a:prstGeom>
      </xdr:spPr>
    </xdr:pic>
    <xdr:clientData/>
  </xdr:twoCellAnchor>
  <xdr:twoCellAnchor editAs="oneCell">
    <xdr:from>
      <xdr:col>63</xdr:col>
      <xdr:colOff>16809</xdr:colOff>
      <xdr:row>45</xdr:row>
      <xdr:rowOff>35859</xdr:rowOff>
    </xdr:from>
    <xdr:to>
      <xdr:col>75</xdr:col>
      <xdr:colOff>152998</xdr:colOff>
      <xdr:row>49</xdr:row>
      <xdr:rowOff>117666</xdr:rowOff>
    </xdr:to>
    <xdr:pic>
      <xdr:nvPicPr>
        <xdr:cNvPr id="5" name="Afbeelding 4">
          <a:extLst>
            <a:ext uri="{FF2B5EF4-FFF2-40B4-BE49-F238E27FC236}">
              <a16:creationId xmlns:a16="http://schemas.microsoft.com/office/drawing/2014/main" id="{0D2BD49C-216F-44C4-95FB-084131B6447C}"/>
            </a:ext>
          </a:extLst>
        </xdr:cNvPr>
        <xdr:cNvPicPr>
          <a:picLocks noChangeAspect="1"/>
        </xdr:cNvPicPr>
      </xdr:nvPicPr>
      <xdr:blipFill>
        <a:blip xmlns:r="http://schemas.openxmlformats.org/officeDocument/2006/relationships" r:embed="rId4"/>
        <a:stretch>
          <a:fillRect/>
        </a:stretch>
      </xdr:blipFill>
      <xdr:spPr>
        <a:xfrm>
          <a:off x="1227044" y="8798859"/>
          <a:ext cx="7393831" cy="866667"/>
        </a:xfrm>
        <a:prstGeom prst="rect">
          <a:avLst/>
        </a:prstGeom>
      </xdr:spPr>
    </xdr:pic>
    <xdr:clientData/>
  </xdr:twoCellAnchor>
  <xdr:oneCellAnchor>
    <xdr:from>
      <xdr:col>62</xdr:col>
      <xdr:colOff>1042988</xdr:colOff>
      <xdr:row>119</xdr:row>
      <xdr:rowOff>86590</xdr:rowOff>
    </xdr:from>
    <xdr:ext cx="7670308" cy="1038095"/>
    <xdr:pic>
      <xdr:nvPicPr>
        <xdr:cNvPr id="6" name="Afbeelding 5">
          <a:extLst>
            <a:ext uri="{FF2B5EF4-FFF2-40B4-BE49-F238E27FC236}">
              <a16:creationId xmlns:a16="http://schemas.microsoft.com/office/drawing/2014/main" id="{B25F79E5-F3F2-4217-9468-ECA8B41AF08E}"/>
            </a:ext>
          </a:extLst>
        </xdr:cNvPr>
        <xdr:cNvPicPr>
          <a:picLocks noChangeAspect="1"/>
        </xdr:cNvPicPr>
      </xdr:nvPicPr>
      <xdr:blipFill>
        <a:blip xmlns:r="http://schemas.openxmlformats.org/officeDocument/2006/relationships" r:embed="rId3"/>
        <a:stretch>
          <a:fillRect/>
        </a:stretch>
      </xdr:blipFill>
      <xdr:spPr>
        <a:xfrm>
          <a:off x="41008156" y="5801590"/>
          <a:ext cx="7670308" cy="1038095"/>
        </a:xfrm>
        <a:prstGeom prst="rect">
          <a:avLst/>
        </a:prstGeom>
      </xdr:spPr>
    </xdr:pic>
    <xdr:clientData/>
  </xdr:oneCellAnchor>
  <xdr:oneCellAnchor>
    <xdr:from>
      <xdr:col>63</xdr:col>
      <xdr:colOff>16809</xdr:colOff>
      <xdr:row>133</xdr:row>
      <xdr:rowOff>35859</xdr:rowOff>
    </xdr:from>
    <xdr:ext cx="7409825" cy="866667"/>
    <xdr:pic>
      <xdr:nvPicPr>
        <xdr:cNvPr id="7" name="Afbeelding 6">
          <a:extLst>
            <a:ext uri="{FF2B5EF4-FFF2-40B4-BE49-F238E27FC236}">
              <a16:creationId xmlns:a16="http://schemas.microsoft.com/office/drawing/2014/main" id="{170833C0-5A41-4AA5-91B8-3614D6A601F8}"/>
            </a:ext>
          </a:extLst>
        </xdr:cNvPr>
        <xdr:cNvPicPr>
          <a:picLocks noChangeAspect="1"/>
        </xdr:cNvPicPr>
      </xdr:nvPicPr>
      <xdr:blipFill>
        <a:blip xmlns:r="http://schemas.openxmlformats.org/officeDocument/2006/relationships" r:embed="rId4"/>
        <a:stretch>
          <a:fillRect/>
        </a:stretch>
      </xdr:blipFill>
      <xdr:spPr>
        <a:xfrm>
          <a:off x="41026264" y="8417859"/>
          <a:ext cx="7409825" cy="866667"/>
        </a:xfrm>
        <a:prstGeom prst="rect">
          <a:avLst/>
        </a:prstGeom>
      </xdr:spPr>
    </xdr:pic>
    <xdr:clientData/>
  </xdr:oneCellAnchor>
  <xdr:oneCellAnchor>
    <xdr:from>
      <xdr:col>62</xdr:col>
      <xdr:colOff>1042988</xdr:colOff>
      <xdr:row>207</xdr:row>
      <xdr:rowOff>86590</xdr:rowOff>
    </xdr:from>
    <xdr:ext cx="7670308" cy="1038095"/>
    <xdr:pic>
      <xdr:nvPicPr>
        <xdr:cNvPr id="8" name="Afbeelding 7">
          <a:extLst>
            <a:ext uri="{FF2B5EF4-FFF2-40B4-BE49-F238E27FC236}">
              <a16:creationId xmlns:a16="http://schemas.microsoft.com/office/drawing/2014/main" id="{5288F2A0-4EB2-408F-AAF4-D88D7EFBE1B4}"/>
            </a:ext>
          </a:extLst>
        </xdr:cNvPr>
        <xdr:cNvPicPr>
          <a:picLocks noChangeAspect="1"/>
        </xdr:cNvPicPr>
      </xdr:nvPicPr>
      <xdr:blipFill>
        <a:blip xmlns:r="http://schemas.openxmlformats.org/officeDocument/2006/relationships" r:embed="rId3"/>
        <a:stretch>
          <a:fillRect/>
        </a:stretch>
      </xdr:blipFill>
      <xdr:spPr>
        <a:xfrm>
          <a:off x="41008156" y="5801590"/>
          <a:ext cx="7670308" cy="1038095"/>
        </a:xfrm>
        <a:prstGeom prst="rect">
          <a:avLst/>
        </a:prstGeom>
      </xdr:spPr>
    </xdr:pic>
    <xdr:clientData/>
  </xdr:oneCellAnchor>
  <xdr:oneCellAnchor>
    <xdr:from>
      <xdr:col>63</xdr:col>
      <xdr:colOff>16809</xdr:colOff>
      <xdr:row>221</xdr:row>
      <xdr:rowOff>35859</xdr:rowOff>
    </xdr:from>
    <xdr:ext cx="7409825" cy="866667"/>
    <xdr:pic>
      <xdr:nvPicPr>
        <xdr:cNvPr id="9" name="Afbeelding 8">
          <a:extLst>
            <a:ext uri="{FF2B5EF4-FFF2-40B4-BE49-F238E27FC236}">
              <a16:creationId xmlns:a16="http://schemas.microsoft.com/office/drawing/2014/main" id="{790AB695-7BE8-4CE0-8B25-4A1B270370D5}"/>
            </a:ext>
          </a:extLst>
        </xdr:cNvPr>
        <xdr:cNvPicPr>
          <a:picLocks noChangeAspect="1"/>
        </xdr:cNvPicPr>
      </xdr:nvPicPr>
      <xdr:blipFill>
        <a:blip xmlns:r="http://schemas.openxmlformats.org/officeDocument/2006/relationships" r:embed="rId4"/>
        <a:stretch>
          <a:fillRect/>
        </a:stretch>
      </xdr:blipFill>
      <xdr:spPr>
        <a:xfrm>
          <a:off x="41026264" y="8417859"/>
          <a:ext cx="7409825" cy="866667"/>
        </a:xfrm>
        <a:prstGeom prst="rect">
          <a:avLst/>
        </a:prstGeom>
      </xdr:spPr>
    </xdr:pic>
    <xdr:clientData/>
  </xdr:oneCellAnchor>
  <xdr:oneCellAnchor>
    <xdr:from>
      <xdr:col>62</xdr:col>
      <xdr:colOff>1042988</xdr:colOff>
      <xdr:row>296</xdr:row>
      <xdr:rowOff>86590</xdr:rowOff>
    </xdr:from>
    <xdr:ext cx="7670308" cy="1038095"/>
    <xdr:pic>
      <xdr:nvPicPr>
        <xdr:cNvPr id="10" name="Afbeelding 9">
          <a:extLst>
            <a:ext uri="{FF2B5EF4-FFF2-40B4-BE49-F238E27FC236}">
              <a16:creationId xmlns:a16="http://schemas.microsoft.com/office/drawing/2014/main" id="{92E5F115-A357-4D9C-BA29-8948C05D51AB}"/>
            </a:ext>
          </a:extLst>
        </xdr:cNvPr>
        <xdr:cNvPicPr>
          <a:picLocks noChangeAspect="1"/>
        </xdr:cNvPicPr>
      </xdr:nvPicPr>
      <xdr:blipFill>
        <a:blip xmlns:r="http://schemas.openxmlformats.org/officeDocument/2006/relationships" r:embed="rId3"/>
        <a:stretch>
          <a:fillRect/>
        </a:stretch>
      </xdr:blipFill>
      <xdr:spPr>
        <a:xfrm>
          <a:off x="41008156" y="5801590"/>
          <a:ext cx="7670308" cy="1038095"/>
        </a:xfrm>
        <a:prstGeom prst="rect">
          <a:avLst/>
        </a:prstGeom>
      </xdr:spPr>
    </xdr:pic>
    <xdr:clientData/>
  </xdr:oneCellAnchor>
  <xdr:oneCellAnchor>
    <xdr:from>
      <xdr:col>63</xdr:col>
      <xdr:colOff>16809</xdr:colOff>
      <xdr:row>310</xdr:row>
      <xdr:rowOff>35859</xdr:rowOff>
    </xdr:from>
    <xdr:ext cx="7409825" cy="866667"/>
    <xdr:pic>
      <xdr:nvPicPr>
        <xdr:cNvPr id="11" name="Afbeelding 10">
          <a:extLst>
            <a:ext uri="{FF2B5EF4-FFF2-40B4-BE49-F238E27FC236}">
              <a16:creationId xmlns:a16="http://schemas.microsoft.com/office/drawing/2014/main" id="{3EF16CDE-6DC6-4561-88E7-CBCA63F1DAAD}"/>
            </a:ext>
          </a:extLst>
        </xdr:cNvPr>
        <xdr:cNvPicPr>
          <a:picLocks noChangeAspect="1"/>
        </xdr:cNvPicPr>
      </xdr:nvPicPr>
      <xdr:blipFill>
        <a:blip xmlns:r="http://schemas.openxmlformats.org/officeDocument/2006/relationships" r:embed="rId4"/>
        <a:stretch>
          <a:fillRect/>
        </a:stretch>
      </xdr:blipFill>
      <xdr:spPr>
        <a:xfrm>
          <a:off x="41026264" y="8417859"/>
          <a:ext cx="7409825" cy="866667"/>
        </a:xfrm>
        <a:prstGeom prst="rect">
          <a:avLst/>
        </a:prstGeom>
      </xdr:spPr>
    </xdr:pic>
    <xdr:clientData/>
  </xdr:oneCellAnchor>
  <xdr:oneCellAnchor>
    <xdr:from>
      <xdr:col>62</xdr:col>
      <xdr:colOff>1042988</xdr:colOff>
      <xdr:row>385</xdr:row>
      <xdr:rowOff>86590</xdr:rowOff>
    </xdr:from>
    <xdr:ext cx="7670308" cy="1038095"/>
    <xdr:pic>
      <xdr:nvPicPr>
        <xdr:cNvPr id="12" name="Afbeelding 11">
          <a:extLst>
            <a:ext uri="{FF2B5EF4-FFF2-40B4-BE49-F238E27FC236}">
              <a16:creationId xmlns:a16="http://schemas.microsoft.com/office/drawing/2014/main" id="{4D25F94A-A789-44FE-ACAA-955147E79D43}"/>
            </a:ext>
          </a:extLst>
        </xdr:cNvPr>
        <xdr:cNvPicPr>
          <a:picLocks noChangeAspect="1"/>
        </xdr:cNvPicPr>
      </xdr:nvPicPr>
      <xdr:blipFill>
        <a:blip xmlns:r="http://schemas.openxmlformats.org/officeDocument/2006/relationships" r:embed="rId3"/>
        <a:stretch>
          <a:fillRect/>
        </a:stretch>
      </xdr:blipFill>
      <xdr:spPr>
        <a:xfrm>
          <a:off x="41008156" y="5801590"/>
          <a:ext cx="7670308" cy="1038095"/>
        </a:xfrm>
        <a:prstGeom prst="rect">
          <a:avLst/>
        </a:prstGeom>
      </xdr:spPr>
    </xdr:pic>
    <xdr:clientData/>
  </xdr:oneCellAnchor>
  <xdr:oneCellAnchor>
    <xdr:from>
      <xdr:col>63</xdr:col>
      <xdr:colOff>16809</xdr:colOff>
      <xdr:row>399</xdr:row>
      <xdr:rowOff>35859</xdr:rowOff>
    </xdr:from>
    <xdr:ext cx="7409825" cy="866667"/>
    <xdr:pic>
      <xdr:nvPicPr>
        <xdr:cNvPr id="13" name="Afbeelding 12">
          <a:extLst>
            <a:ext uri="{FF2B5EF4-FFF2-40B4-BE49-F238E27FC236}">
              <a16:creationId xmlns:a16="http://schemas.microsoft.com/office/drawing/2014/main" id="{518CA525-7D97-4DF8-A186-EC4EBFAADF8F}"/>
            </a:ext>
          </a:extLst>
        </xdr:cNvPr>
        <xdr:cNvPicPr>
          <a:picLocks noChangeAspect="1"/>
        </xdr:cNvPicPr>
      </xdr:nvPicPr>
      <xdr:blipFill>
        <a:blip xmlns:r="http://schemas.openxmlformats.org/officeDocument/2006/relationships" r:embed="rId4"/>
        <a:stretch>
          <a:fillRect/>
        </a:stretch>
      </xdr:blipFill>
      <xdr:spPr>
        <a:xfrm>
          <a:off x="41026264" y="8417859"/>
          <a:ext cx="7409825" cy="866667"/>
        </a:xfrm>
        <a:prstGeom prst="rect">
          <a:avLst/>
        </a:prstGeom>
      </xdr:spPr>
    </xdr:pic>
    <xdr:clientData/>
  </xdr:oneCellAnchor>
  <xdr:oneCellAnchor>
    <xdr:from>
      <xdr:col>62</xdr:col>
      <xdr:colOff>1042988</xdr:colOff>
      <xdr:row>474</xdr:row>
      <xdr:rowOff>86590</xdr:rowOff>
    </xdr:from>
    <xdr:ext cx="7670308" cy="1038095"/>
    <xdr:pic>
      <xdr:nvPicPr>
        <xdr:cNvPr id="14" name="Afbeelding 13">
          <a:extLst>
            <a:ext uri="{FF2B5EF4-FFF2-40B4-BE49-F238E27FC236}">
              <a16:creationId xmlns:a16="http://schemas.microsoft.com/office/drawing/2014/main" id="{CD94FF1D-DDDB-42C8-9E4A-5073B7FF9B48}"/>
            </a:ext>
          </a:extLst>
        </xdr:cNvPr>
        <xdr:cNvPicPr>
          <a:picLocks noChangeAspect="1"/>
        </xdr:cNvPicPr>
      </xdr:nvPicPr>
      <xdr:blipFill>
        <a:blip xmlns:r="http://schemas.openxmlformats.org/officeDocument/2006/relationships" r:embed="rId3"/>
        <a:stretch>
          <a:fillRect/>
        </a:stretch>
      </xdr:blipFill>
      <xdr:spPr>
        <a:xfrm>
          <a:off x="41008156" y="5801590"/>
          <a:ext cx="7670308" cy="1038095"/>
        </a:xfrm>
        <a:prstGeom prst="rect">
          <a:avLst/>
        </a:prstGeom>
      </xdr:spPr>
    </xdr:pic>
    <xdr:clientData/>
  </xdr:oneCellAnchor>
  <xdr:oneCellAnchor>
    <xdr:from>
      <xdr:col>63</xdr:col>
      <xdr:colOff>16809</xdr:colOff>
      <xdr:row>488</xdr:row>
      <xdr:rowOff>35859</xdr:rowOff>
    </xdr:from>
    <xdr:ext cx="7409825" cy="866667"/>
    <xdr:pic>
      <xdr:nvPicPr>
        <xdr:cNvPr id="15" name="Afbeelding 14">
          <a:extLst>
            <a:ext uri="{FF2B5EF4-FFF2-40B4-BE49-F238E27FC236}">
              <a16:creationId xmlns:a16="http://schemas.microsoft.com/office/drawing/2014/main" id="{EAFDB1CA-1929-4AB8-B8D1-9C798FFCD223}"/>
            </a:ext>
          </a:extLst>
        </xdr:cNvPr>
        <xdr:cNvPicPr>
          <a:picLocks noChangeAspect="1"/>
        </xdr:cNvPicPr>
      </xdr:nvPicPr>
      <xdr:blipFill>
        <a:blip xmlns:r="http://schemas.openxmlformats.org/officeDocument/2006/relationships" r:embed="rId4"/>
        <a:stretch>
          <a:fillRect/>
        </a:stretch>
      </xdr:blipFill>
      <xdr:spPr>
        <a:xfrm>
          <a:off x="41026264" y="8417859"/>
          <a:ext cx="7409825" cy="866667"/>
        </a:xfrm>
        <a:prstGeom prst="rect">
          <a:avLst/>
        </a:prstGeom>
      </xdr:spPr>
    </xdr:pic>
    <xdr:clientData/>
  </xdr:oneCellAnchor>
  <xdr:oneCellAnchor>
    <xdr:from>
      <xdr:col>62</xdr:col>
      <xdr:colOff>1042988</xdr:colOff>
      <xdr:row>562</xdr:row>
      <xdr:rowOff>86590</xdr:rowOff>
    </xdr:from>
    <xdr:ext cx="7670308" cy="1038095"/>
    <xdr:pic>
      <xdr:nvPicPr>
        <xdr:cNvPr id="16" name="Afbeelding 15">
          <a:extLst>
            <a:ext uri="{FF2B5EF4-FFF2-40B4-BE49-F238E27FC236}">
              <a16:creationId xmlns:a16="http://schemas.microsoft.com/office/drawing/2014/main" id="{DE6E2C96-524A-4EFD-8C75-9166AC314EF7}"/>
            </a:ext>
          </a:extLst>
        </xdr:cNvPr>
        <xdr:cNvPicPr>
          <a:picLocks noChangeAspect="1"/>
        </xdr:cNvPicPr>
      </xdr:nvPicPr>
      <xdr:blipFill>
        <a:blip xmlns:r="http://schemas.openxmlformats.org/officeDocument/2006/relationships" r:embed="rId3"/>
        <a:stretch>
          <a:fillRect/>
        </a:stretch>
      </xdr:blipFill>
      <xdr:spPr>
        <a:xfrm>
          <a:off x="41008156" y="89240590"/>
          <a:ext cx="7670308" cy="1038095"/>
        </a:xfrm>
        <a:prstGeom prst="rect">
          <a:avLst/>
        </a:prstGeom>
      </xdr:spPr>
    </xdr:pic>
    <xdr:clientData/>
  </xdr:oneCellAnchor>
  <xdr:oneCellAnchor>
    <xdr:from>
      <xdr:col>63</xdr:col>
      <xdr:colOff>16809</xdr:colOff>
      <xdr:row>576</xdr:row>
      <xdr:rowOff>35859</xdr:rowOff>
    </xdr:from>
    <xdr:ext cx="7409825" cy="866667"/>
    <xdr:pic>
      <xdr:nvPicPr>
        <xdr:cNvPr id="17" name="Afbeelding 16">
          <a:extLst>
            <a:ext uri="{FF2B5EF4-FFF2-40B4-BE49-F238E27FC236}">
              <a16:creationId xmlns:a16="http://schemas.microsoft.com/office/drawing/2014/main" id="{923DD7A7-A6C7-4682-8630-6CE1E06178F0}"/>
            </a:ext>
          </a:extLst>
        </xdr:cNvPr>
        <xdr:cNvPicPr>
          <a:picLocks noChangeAspect="1"/>
        </xdr:cNvPicPr>
      </xdr:nvPicPr>
      <xdr:blipFill>
        <a:blip xmlns:r="http://schemas.openxmlformats.org/officeDocument/2006/relationships" r:embed="rId4"/>
        <a:stretch>
          <a:fillRect/>
        </a:stretch>
      </xdr:blipFill>
      <xdr:spPr>
        <a:xfrm>
          <a:off x="41026264" y="91856859"/>
          <a:ext cx="7409825" cy="866667"/>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n.nl/nta-8800-2020-a1-2020-nl-27829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13FC-9795-4CEF-8610-6783837A5B5A}">
  <sheetPr>
    <tabColor theme="0" tint="-0.249977111117893"/>
  </sheetPr>
  <dimension ref="A2:AD187"/>
  <sheetViews>
    <sheetView zoomScale="85" zoomScaleNormal="85" workbookViewId="0">
      <pane ySplit="3" topLeftCell="A4" activePane="bottomLeft" state="frozen"/>
      <selection pane="bottomLeft" activeCell="C184" sqref="C184"/>
    </sheetView>
  </sheetViews>
  <sheetFormatPr defaultRowHeight="14.4" x14ac:dyDescent="0.3"/>
  <cols>
    <col min="1" max="1" width="6.6640625" style="61" customWidth="1"/>
    <col min="2" max="2" width="67.33203125" style="61" customWidth="1"/>
    <col min="3" max="3" width="164" style="61" bestFit="1" customWidth="1"/>
    <col min="4" max="4" width="41.33203125" style="61" customWidth="1"/>
    <col min="5" max="30" width="8.88671875" style="61"/>
  </cols>
  <sheetData>
    <row r="2" spans="1:3" ht="28.8" x14ac:dyDescent="0.55000000000000004">
      <c r="B2" s="62" t="s">
        <v>425</v>
      </c>
    </row>
    <row r="3" spans="1:3" ht="15" x14ac:dyDescent="0.35">
      <c r="A3" s="115"/>
      <c r="B3" s="74" t="s">
        <v>540</v>
      </c>
      <c r="C3" s="115"/>
    </row>
    <row r="4" spans="1:3" ht="15" x14ac:dyDescent="0.35">
      <c r="A4" s="115"/>
      <c r="B4" s="115"/>
      <c r="C4" s="115"/>
    </row>
    <row r="5" spans="1:3" ht="15" x14ac:dyDescent="0.35">
      <c r="A5" s="115"/>
      <c r="B5" s="77" t="s">
        <v>454</v>
      </c>
      <c r="C5" s="115"/>
    </row>
    <row r="6" spans="1:3" ht="15" x14ac:dyDescent="0.35">
      <c r="A6" s="115"/>
      <c r="B6" s="75" t="s">
        <v>451</v>
      </c>
      <c r="C6" s="75"/>
    </row>
    <row r="7" spans="1:3" ht="15" x14ac:dyDescent="0.35">
      <c r="A7" s="115"/>
      <c r="B7" s="75" t="s">
        <v>452</v>
      </c>
      <c r="C7" s="75"/>
    </row>
    <row r="8" spans="1:3" ht="15" x14ac:dyDescent="0.35">
      <c r="A8" s="115"/>
      <c r="B8" s="75" t="s">
        <v>453</v>
      </c>
      <c r="C8" s="75"/>
    </row>
    <row r="9" spans="1:3" ht="15" x14ac:dyDescent="0.35">
      <c r="A9" s="115"/>
      <c r="B9" s="75" t="s">
        <v>459</v>
      </c>
      <c r="C9" s="75"/>
    </row>
    <row r="10" spans="1:3" ht="15" x14ac:dyDescent="0.35">
      <c r="A10" s="115"/>
      <c r="B10" s="75" t="s">
        <v>458</v>
      </c>
      <c r="C10" s="75"/>
    </row>
    <row r="11" spans="1:3" ht="15" x14ac:dyDescent="0.35">
      <c r="A11" s="115"/>
      <c r="B11" s="75"/>
      <c r="C11" s="75"/>
    </row>
    <row r="12" spans="1:3" ht="15" x14ac:dyDescent="0.35">
      <c r="A12" s="115"/>
      <c r="B12" s="76"/>
      <c r="C12" s="76"/>
    </row>
    <row r="13" spans="1:3" ht="15" x14ac:dyDescent="0.35">
      <c r="A13" s="115"/>
      <c r="B13" s="77" t="s">
        <v>504</v>
      </c>
      <c r="C13" s="76"/>
    </row>
    <row r="14" spans="1:3" ht="15" x14ac:dyDescent="0.35">
      <c r="A14" s="115"/>
      <c r="B14" s="75" t="s">
        <v>538</v>
      </c>
      <c r="C14" s="75"/>
    </row>
    <row r="15" spans="1:3" ht="15" x14ac:dyDescent="0.35">
      <c r="A15" s="115"/>
      <c r="B15" s="75" t="s">
        <v>402</v>
      </c>
      <c r="C15" s="75"/>
    </row>
    <row r="16" spans="1:3" ht="15" x14ac:dyDescent="0.35">
      <c r="A16" s="115"/>
      <c r="B16" s="75" t="s">
        <v>415</v>
      </c>
      <c r="C16" s="75"/>
    </row>
    <row r="17" spans="1:3" ht="15" x14ac:dyDescent="0.35">
      <c r="A17" s="115"/>
      <c r="B17" s="75" t="s">
        <v>539</v>
      </c>
      <c r="C17" s="75"/>
    </row>
    <row r="18" spans="1:3" ht="15" x14ac:dyDescent="0.35">
      <c r="A18" s="115"/>
      <c r="B18" s="76"/>
      <c r="C18" s="76"/>
    </row>
    <row r="19" spans="1:3" ht="15" x14ac:dyDescent="0.35">
      <c r="A19" s="115"/>
      <c r="B19" s="77" t="s">
        <v>505</v>
      </c>
      <c r="C19" s="76"/>
    </row>
    <row r="20" spans="1:3" ht="15" x14ac:dyDescent="0.35">
      <c r="A20" s="115"/>
      <c r="B20" s="89" t="s">
        <v>407</v>
      </c>
      <c r="C20" s="75"/>
    </row>
    <row r="21" spans="1:3" ht="15" x14ac:dyDescent="0.35">
      <c r="A21" s="115"/>
      <c r="B21" s="89" t="s">
        <v>457</v>
      </c>
      <c r="C21" s="75"/>
    </row>
    <row r="22" spans="1:3" ht="15" x14ac:dyDescent="0.35">
      <c r="A22" s="115"/>
      <c r="B22" s="89" t="s">
        <v>416</v>
      </c>
      <c r="C22" s="75"/>
    </row>
    <row r="23" spans="1:3" ht="15" x14ac:dyDescent="0.35">
      <c r="A23" s="115"/>
      <c r="B23" s="128" t="s">
        <v>455</v>
      </c>
      <c r="C23" s="122"/>
    </row>
    <row r="24" spans="1:3" ht="15" x14ac:dyDescent="0.35">
      <c r="A24" s="115"/>
      <c r="B24" s="128" t="s">
        <v>456</v>
      </c>
      <c r="C24" s="122"/>
    </row>
    <row r="25" spans="1:3" ht="15" x14ac:dyDescent="0.35">
      <c r="A25" s="115"/>
      <c r="B25" s="75"/>
      <c r="C25" s="75"/>
    </row>
    <row r="26" spans="1:3" ht="15" x14ac:dyDescent="0.35">
      <c r="A26" s="115"/>
      <c r="B26" s="115"/>
      <c r="C26" s="115"/>
    </row>
    <row r="27" spans="1:3" ht="15" x14ac:dyDescent="0.35">
      <c r="A27" s="115"/>
      <c r="B27" s="77" t="s">
        <v>279</v>
      </c>
      <c r="C27" s="115"/>
    </row>
    <row r="28" spans="1:3" ht="15" x14ac:dyDescent="0.35">
      <c r="A28" s="115"/>
      <c r="B28" s="117" t="s">
        <v>497</v>
      </c>
      <c r="C28" s="117"/>
    </row>
    <row r="29" spans="1:3" ht="15" x14ac:dyDescent="0.35">
      <c r="A29" s="115"/>
      <c r="B29" s="117" t="s">
        <v>525</v>
      </c>
      <c r="C29" s="117"/>
    </row>
    <row r="30" spans="1:3" ht="15" x14ac:dyDescent="0.35">
      <c r="A30" s="115"/>
      <c r="B30" s="117" t="s">
        <v>532</v>
      </c>
      <c r="C30" s="117"/>
    </row>
    <row r="31" spans="1:3" ht="15" x14ac:dyDescent="0.35">
      <c r="A31" s="115"/>
      <c r="B31" s="115"/>
      <c r="C31" s="115"/>
    </row>
    <row r="32" spans="1:3" ht="15" x14ac:dyDescent="0.35">
      <c r="A32" s="115"/>
      <c r="B32" s="116" t="s">
        <v>286</v>
      </c>
      <c r="C32" s="115"/>
    </row>
    <row r="33" spans="1:3" ht="15" x14ac:dyDescent="0.35">
      <c r="A33" s="115"/>
      <c r="B33" s="117" t="s">
        <v>448</v>
      </c>
      <c r="C33" s="117"/>
    </row>
    <row r="34" spans="1:3" ht="15" x14ac:dyDescent="0.35">
      <c r="A34" s="115"/>
      <c r="B34" s="117" t="s">
        <v>381</v>
      </c>
      <c r="C34" s="117"/>
    </row>
    <row r="35" spans="1:3" ht="15" x14ac:dyDescent="0.35">
      <c r="A35" s="115"/>
      <c r="B35" s="117" t="s">
        <v>382</v>
      </c>
      <c r="C35" s="117"/>
    </row>
    <row r="36" spans="1:3" ht="15" x14ac:dyDescent="0.35">
      <c r="A36" s="115"/>
      <c r="B36" s="115"/>
      <c r="C36" s="115"/>
    </row>
    <row r="37" spans="1:3" ht="15" x14ac:dyDescent="0.35">
      <c r="A37" s="115"/>
      <c r="B37" s="116" t="s">
        <v>320</v>
      </c>
      <c r="C37" s="115"/>
    </row>
    <row r="38" spans="1:3" ht="15" x14ac:dyDescent="0.35">
      <c r="A38" s="115"/>
      <c r="B38" s="117" t="s">
        <v>449</v>
      </c>
      <c r="C38" s="117"/>
    </row>
    <row r="39" spans="1:3" ht="15" x14ac:dyDescent="0.35">
      <c r="A39" s="115"/>
      <c r="B39" s="117" t="s">
        <v>427</v>
      </c>
      <c r="C39" s="117"/>
    </row>
    <row r="40" spans="1:3" ht="15" x14ac:dyDescent="0.35">
      <c r="A40" s="115"/>
      <c r="B40" s="115"/>
      <c r="C40" s="115"/>
    </row>
    <row r="41" spans="1:3" ht="15" x14ac:dyDescent="0.35">
      <c r="A41" s="115"/>
      <c r="B41" s="116" t="s">
        <v>391</v>
      </c>
      <c r="C41" s="115"/>
    </row>
    <row r="42" spans="1:3" ht="15" x14ac:dyDescent="0.35">
      <c r="A42" s="115"/>
      <c r="B42" s="117" t="s">
        <v>393</v>
      </c>
      <c r="C42" s="117"/>
    </row>
    <row r="43" spans="1:3" ht="15" x14ac:dyDescent="0.35">
      <c r="A43" s="115"/>
      <c r="B43" s="117"/>
      <c r="C43" s="117"/>
    </row>
    <row r="44" spans="1:3" ht="15" x14ac:dyDescent="0.35">
      <c r="A44" s="115"/>
      <c r="B44" s="117"/>
      <c r="C44" s="117" t="s">
        <v>413</v>
      </c>
    </row>
    <row r="45" spans="1:3" ht="15" x14ac:dyDescent="0.35">
      <c r="A45" s="115"/>
      <c r="B45" s="117"/>
      <c r="C45" s="117" t="s">
        <v>414</v>
      </c>
    </row>
    <row r="46" spans="1:3" ht="15" x14ac:dyDescent="0.35">
      <c r="A46" s="115"/>
      <c r="B46" s="117"/>
      <c r="C46" s="117" t="s">
        <v>383</v>
      </c>
    </row>
    <row r="47" spans="1:3" ht="15" x14ac:dyDescent="0.35">
      <c r="A47" s="115"/>
      <c r="B47" s="117"/>
      <c r="C47" s="117" t="s">
        <v>384</v>
      </c>
    </row>
    <row r="48" spans="1:3" ht="15" x14ac:dyDescent="0.35">
      <c r="A48" s="115"/>
      <c r="B48" s="117"/>
      <c r="C48" s="117" t="s">
        <v>385</v>
      </c>
    </row>
    <row r="49" spans="1:3" ht="15" x14ac:dyDescent="0.35">
      <c r="A49" s="115"/>
      <c r="B49" s="117"/>
      <c r="C49" s="117" t="s">
        <v>386</v>
      </c>
    </row>
    <row r="50" spans="1:3" ht="15" x14ac:dyDescent="0.35">
      <c r="A50" s="115"/>
      <c r="B50" s="117"/>
      <c r="C50" s="117" t="s">
        <v>387</v>
      </c>
    </row>
    <row r="51" spans="1:3" ht="15" x14ac:dyDescent="0.35">
      <c r="A51" s="115"/>
      <c r="B51" s="117"/>
      <c r="C51" s="117" t="s">
        <v>388</v>
      </c>
    </row>
    <row r="52" spans="1:3" ht="15" x14ac:dyDescent="0.35">
      <c r="A52" s="115"/>
      <c r="B52" s="117"/>
      <c r="C52" s="118" t="s">
        <v>389</v>
      </c>
    </row>
    <row r="53" spans="1:3" ht="15" x14ac:dyDescent="0.35">
      <c r="A53" s="115"/>
      <c r="B53" s="115"/>
      <c r="C53" s="119"/>
    </row>
    <row r="54" spans="1:3" ht="15" x14ac:dyDescent="0.35">
      <c r="A54" s="115"/>
      <c r="B54" s="115"/>
      <c r="C54" s="119"/>
    </row>
    <row r="55" spans="1:3" ht="15" x14ac:dyDescent="0.35">
      <c r="A55" s="115"/>
      <c r="B55" s="116" t="s">
        <v>392</v>
      </c>
      <c r="C55" s="115"/>
    </row>
    <row r="56" spans="1:3" ht="15" x14ac:dyDescent="0.35">
      <c r="A56" s="115"/>
      <c r="B56" s="117" t="s">
        <v>332</v>
      </c>
      <c r="C56" s="117"/>
    </row>
    <row r="57" spans="1:3" ht="15" x14ac:dyDescent="0.35">
      <c r="A57" s="115"/>
      <c r="B57" s="117"/>
      <c r="C57" s="117" t="s">
        <v>390</v>
      </c>
    </row>
    <row r="58" spans="1:3" ht="15" x14ac:dyDescent="0.35">
      <c r="A58" s="115"/>
      <c r="B58" s="117"/>
      <c r="C58" s="117" t="s">
        <v>408</v>
      </c>
    </row>
    <row r="59" spans="1:3" ht="15" x14ac:dyDescent="0.35">
      <c r="A59" s="115"/>
      <c r="B59" s="117"/>
      <c r="C59" s="117" t="s">
        <v>450</v>
      </c>
    </row>
    <row r="60" spans="1:3" ht="15" x14ac:dyDescent="0.35">
      <c r="A60" s="115"/>
      <c r="B60" s="117"/>
      <c r="C60" s="117" t="s">
        <v>420</v>
      </c>
    </row>
    <row r="61" spans="1:3" ht="15" x14ac:dyDescent="0.35">
      <c r="A61" s="115"/>
      <c r="B61" s="117"/>
      <c r="C61" s="117"/>
    </row>
    <row r="62" spans="1:3" ht="15" x14ac:dyDescent="0.35">
      <c r="A62" s="115"/>
      <c r="B62" s="117"/>
      <c r="C62" s="117"/>
    </row>
    <row r="63" spans="1:3" ht="15" x14ac:dyDescent="0.35">
      <c r="A63" s="115"/>
      <c r="B63" s="117"/>
      <c r="C63" s="117"/>
    </row>
    <row r="64" spans="1:3" ht="15" x14ac:dyDescent="0.35">
      <c r="A64" s="115"/>
      <c r="B64" s="117"/>
      <c r="C64" s="117"/>
    </row>
    <row r="65" spans="1:3" ht="15" x14ac:dyDescent="0.35">
      <c r="A65" s="115"/>
      <c r="B65" s="117"/>
      <c r="C65" s="117"/>
    </row>
    <row r="66" spans="1:3" ht="15" x14ac:dyDescent="0.35">
      <c r="A66" s="115"/>
      <c r="B66" s="117"/>
      <c r="C66" s="117"/>
    </row>
    <row r="67" spans="1:3" ht="15" x14ac:dyDescent="0.35">
      <c r="A67" s="115"/>
      <c r="B67" s="117"/>
      <c r="C67" s="117"/>
    </row>
    <row r="68" spans="1:3" ht="15" x14ac:dyDescent="0.35">
      <c r="A68" s="115"/>
      <c r="B68" s="117"/>
      <c r="C68" s="117"/>
    </row>
    <row r="69" spans="1:3" ht="15" x14ac:dyDescent="0.35">
      <c r="A69" s="115"/>
      <c r="B69" s="117"/>
      <c r="C69" s="117"/>
    </row>
    <row r="70" spans="1:3" ht="15" x14ac:dyDescent="0.35">
      <c r="A70" s="115"/>
      <c r="B70" s="115"/>
      <c r="C70" s="115"/>
    </row>
    <row r="71" spans="1:3" ht="15" x14ac:dyDescent="0.35">
      <c r="A71" s="115"/>
      <c r="B71" s="116" t="s">
        <v>339</v>
      </c>
      <c r="C71" s="115"/>
    </row>
    <row r="72" spans="1:3" ht="15" x14ac:dyDescent="0.35">
      <c r="A72" s="115"/>
      <c r="B72" s="117" t="s">
        <v>464</v>
      </c>
      <c r="C72" s="117"/>
    </row>
    <row r="73" spans="1:3" ht="15" x14ac:dyDescent="0.35">
      <c r="A73" s="115"/>
      <c r="B73" s="117" t="s">
        <v>465</v>
      </c>
      <c r="C73" s="117"/>
    </row>
    <row r="74" spans="1:3" ht="15" x14ac:dyDescent="0.35">
      <c r="A74" s="115"/>
      <c r="B74" s="117" t="s">
        <v>466</v>
      </c>
      <c r="C74" s="117"/>
    </row>
    <row r="75" spans="1:3" ht="15" x14ac:dyDescent="0.35">
      <c r="A75" s="115"/>
      <c r="B75" s="117" t="s">
        <v>467</v>
      </c>
      <c r="C75" s="117"/>
    </row>
    <row r="76" spans="1:3" ht="15" x14ac:dyDescent="0.35">
      <c r="A76" s="115"/>
      <c r="B76" s="117"/>
      <c r="C76" s="117"/>
    </row>
    <row r="77" spans="1:3" ht="15" x14ac:dyDescent="0.35">
      <c r="A77" s="115"/>
      <c r="B77" s="117" t="s">
        <v>502</v>
      </c>
      <c r="C77" s="117"/>
    </row>
    <row r="78" spans="1:3" ht="15" x14ac:dyDescent="0.35">
      <c r="A78" s="115"/>
      <c r="B78" s="117" t="s">
        <v>478</v>
      </c>
      <c r="C78" s="117"/>
    </row>
    <row r="79" spans="1:3" ht="15" x14ac:dyDescent="0.35">
      <c r="A79" s="115"/>
      <c r="B79" s="117" t="s">
        <v>479</v>
      </c>
      <c r="C79" s="117"/>
    </row>
    <row r="80" spans="1:3" ht="15" x14ac:dyDescent="0.35">
      <c r="A80" s="115"/>
      <c r="B80" s="115"/>
      <c r="C80" s="115"/>
    </row>
    <row r="81" spans="1:3" ht="15" x14ac:dyDescent="0.35">
      <c r="A81" s="115"/>
      <c r="B81" s="116" t="s">
        <v>330</v>
      </c>
      <c r="C81" s="115"/>
    </row>
    <row r="82" spans="1:3" ht="15" x14ac:dyDescent="0.35">
      <c r="A82" s="115"/>
      <c r="B82" s="117" t="s">
        <v>395</v>
      </c>
      <c r="C82" s="117"/>
    </row>
    <row r="83" spans="1:3" ht="15" x14ac:dyDescent="0.35">
      <c r="A83" s="115"/>
      <c r="B83" s="117" t="s">
        <v>428</v>
      </c>
      <c r="C83" s="117"/>
    </row>
    <row r="84" spans="1:3" ht="15" x14ac:dyDescent="0.35">
      <c r="A84" s="115"/>
      <c r="B84" s="117" t="s">
        <v>394</v>
      </c>
      <c r="C84" s="117"/>
    </row>
    <row r="85" spans="1:3" ht="15" x14ac:dyDescent="0.35">
      <c r="A85" s="115"/>
      <c r="B85" s="117" t="s">
        <v>463</v>
      </c>
      <c r="C85" s="117"/>
    </row>
    <row r="86" spans="1:3" ht="15" x14ac:dyDescent="0.35">
      <c r="A86" s="115"/>
      <c r="B86" s="117" t="s">
        <v>396</v>
      </c>
      <c r="C86" s="117"/>
    </row>
    <row r="87" spans="1:3" ht="15" x14ac:dyDescent="0.35">
      <c r="A87" s="115"/>
      <c r="B87" s="117" t="s">
        <v>419</v>
      </c>
      <c r="C87" s="117"/>
    </row>
    <row r="88" spans="1:3" ht="15" x14ac:dyDescent="0.35">
      <c r="A88" s="115"/>
      <c r="B88" s="115"/>
      <c r="C88" s="115"/>
    </row>
    <row r="89" spans="1:3" ht="15" x14ac:dyDescent="0.35">
      <c r="A89" s="115"/>
      <c r="B89" s="116" t="s">
        <v>322</v>
      </c>
      <c r="C89" s="115"/>
    </row>
    <row r="90" spans="1:3" ht="15" x14ac:dyDescent="0.35">
      <c r="A90" s="115"/>
      <c r="B90" s="120"/>
      <c r="C90" s="117" t="s">
        <v>400</v>
      </c>
    </row>
    <row r="91" spans="1:3" ht="15" x14ac:dyDescent="0.35">
      <c r="A91" s="115"/>
      <c r="B91" s="117"/>
      <c r="C91" s="117" t="s">
        <v>399</v>
      </c>
    </row>
    <row r="92" spans="1:3" ht="15" x14ac:dyDescent="0.35">
      <c r="A92" s="115"/>
      <c r="B92" s="117"/>
      <c r="C92" s="117" t="s">
        <v>468</v>
      </c>
    </row>
    <row r="93" spans="1:3" ht="15" x14ac:dyDescent="0.35">
      <c r="A93" s="115"/>
      <c r="B93" s="117"/>
      <c r="C93" s="117" t="s">
        <v>498</v>
      </c>
    </row>
    <row r="94" spans="1:3" ht="15" x14ac:dyDescent="0.35">
      <c r="A94" s="115"/>
      <c r="B94" s="115"/>
      <c r="C94" s="115"/>
    </row>
    <row r="95" spans="1:3" ht="15" x14ac:dyDescent="0.35">
      <c r="A95" s="115"/>
      <c r="B95" s="121" t="s">
        <v>403</v>
      </c>
      <c r="C95" s="121" t="s">
        <v>0</v>
      </c>
    </row>
    <row r="96" spans="1:3" ht="15" x14ac:dyDescent="0.35">
      <c r="A96" s="115"/>
      <c r="B96" s="117" t="s">
        <v>336</v>
      </c>
      <c r="C96" s="117" t="s">
        <v>469</v>
      </c>
    </row>
    <row r="97" spans="1:3" ht="15" x14ac:dyDescent="0.35">
      <c r="A97" s="115"/>
      <c r="B97" s="117" t="s">
        <v>298</v>
      </c>
      <c r="C97" s="117" t="s">
        <v>480</v>
      </c>
    </row>
    <row r="98" spans="1:3" ht="15" x14ac:dyDescent="0.35">
      <c r="A98" s="115"/>
      <c r="B98" s="117" t="s">
        <v>397</v>
      </c>
      <c r="C98" s="117" t="s">
        <v>401</v>
      </c>
    </row>
    <row r="99" spans="1:3" ht="15" x14ac:dyDescent="0.35">
      <c r="A99" s="115"/>
      <c r="B99" s="117"/>
      <c r="C99" s="117"/>
    </row>
    <row r="100" spans="1:3" ht="15" x14ac:dyDescent="0.35">
      <c r="A100" s="115"/>
      <c r="B100" s="117" t="s">
        <v>291</v>
      </c>
      <c r="C100" s="117"/>
    </row>
    <row r="101" spans="1:3" ht="15" x14ac:dyDescent="0.35">
      <c r="A101" s="115"/>
      <c r="B101" s="117" t="s">
        <v>288</v>
      </c>
      <c r="C101" s="117" t="s">
        <v>404</v>
      </c>
    </row>
    <row r="102" spans="1:3" ht="15" x14ac:dyDescent="0.35">
      <c r="A102" s="115"/>
      <c r="B102" s="117"/>
      <c r="C102" s="118" t="s">
        <v>470</v>
      </c>
    </row>
    <row r="103" spans="1:3" ht="15" x14ac:dyDescent="0.35">
      <c r="A103" s="115"/>
      <c r="B103" s="117"/>
      <c r="C103" s="118" t="s">
        <v>471</v>
      </c>
    </row>
    <row r="104" spans="1:3" ht="15" x14ac:dyDescent="0.35">
      <c r="A104" s="115"/>
      <c r="B104" s="117"/>
      <c r="C104" s="118" t="s">
        <v>472</v>
      </c>
    </row>
    <row r="105" spans="1:3" ht="15" x14ac:dyDescent="0.35">
      <c r="A105" s="115"/>
      <c r="B105" s="117"/>
      <c r="C105" s="118" t="s">
        <v>473</v>
      </c>
    </row>
    <row r="106" spans="1:3" ht="15" x14ac:dyDescent="0.35">
      <c r="A106" s="115"/>
      <c r="B106" s="117"/>
      <c r="C106" s="118" t="s">
        <v>474</v>
      </c>
    </row>
    <row r="107" spans="1:3" ht="16.8" x14ac:dyDescent="0.35">
      <c r="A107" s="115"/>
      <c r="B107" s="117"/>
      <c r="C107" s="61" t="s">
        <v>522</v>
      </c>
    </row>
    <row r="108" spans="1:3" ht="16.8" x14ac:dyDescent="0.35">
      <c r="A108" s="115"/>
      <c r="B108" s="117"/>
      <c r="C108" s="61" t="s">
        <v>523</v>
      </c>
    </row>
    <row r="109" spans="1:3" ht="16.2" x14ac:dyDescent="0.35">
      <c r="A109" s="115"/>
      <c r="B109" s="117" t="s">
        <v>521</v>
      </c>
      <c r="C109" s="117" t="s">
        <v>405</v>
      </c>
    </row>
    <row r="110" spans="1:3" ht="16.2" x14ac:dyDescent="0.35">
      <c r="A110" s="115"/>
      <c r="B110" s="117" t="s">
        <v>325</v>
      </c>
      <c r="C110" s="117" t="s">
        <v>520</v>
      </c>
    </row>
    <row r="111" spans="1:3" ht="15" x14ac:dyDescent="0.35">
      <c r="A111" s="115"/>
      <c r="B111" s="117" t="s">
        <v>357</v>
      </c>
      <c r="C111" s="117" t="s">
        <v>483</v>
      </c>
    </row>
    <row r="112" spans="1:3" ht="15" x14ac:dyDescent="0.35">
      <c r="A112" s="115"/>
      <c r="B112" s="117"/>
      <c r="C112" s="117" t="s">
        <v>484</v>
      </c>
    </row>
    <row r="113" spans="1:3" ht="15" x14ac:dyDescent="0.35">
      <c r="A113" s="115"/>
      <c r="B113" s="117"/>
      <c r="C113" s="117" t="s">
        <v>485</v>
      </c>
    </row>
    <row r="114" spans="1:3" ht="15" x14ac:dyDescent="0.35">
      <c r="A114" s="115"/>
      <c r="B114" s="117"/>
      <c r="C114" s="117" t="s">
        <v>481</v>
      </c>
    </row>
    <row r="115" spans="1:3" ht="15" x14ac:dyDescent="0.35">
      <c r="A115" s="115"/>
      <c r="B115" s="117"/>
      <c r="C115" s="117" t="s">
        <v>482</v>
      </c>
    </row>
    <row r="116" spans="1:3" ht="15" x14ac:dyDescent="0.35">
      <c r="A116" s="115"/>
      <c r="B116" s="117"/>
      <c r="C116" s="117" t="s">
        <v>486</v>
      </c>
    </row>
    <row r="117" spans="1:3" ht="15" x14ac:dyDescent="0.35">
      <c r="A117" s="115"/>
      <c r="B117" s="117" t="s">
        <v>398</v>
      </c>
      <c r="C117" s="117" t="s">
        <v>487</v>
      </c>
    </row>
    <row r="118" spans="1:3" ht="15" x14ac:dyDescent="0.35">
      <c r="A118" s="115"/>
      <c r="B118" s="117" t="s">
        <v>489</v>
      </c>
      <c r="C118" s="117" t="s">
        <v>488</v>
      </c>
    </row>
    <row r="119" spans="1:3" ht="15" x14ac:dyDescent="0.35">
      <c r="A119" s="115"/>
      <c r="B119" s="117"/>
      <c r="C119" s="117"/>
    </row>
    <row r="120" spans="1:3" ht="15" x14ac:dyDescent="0.35">
      <c r="A120" s="115"/>
      <c r="B120" s="117" t="s">
        <v>295</v>
      </c>
      <c r="C120" s="117" t="s">
        <v>490</v>
      </c>
    </row>
    <row r="121" spans="1:3" ht="15" x14ac:dyDescent="0.35">
      <c r="A121" s="115"/>
      <c r="B121" s="117" t="s">
        <v>331</v>
      </c>
      <c r="C121" s="117" t="s">
        <v>406</v>
      </c>
    </row>
    <row r="122" spans="1:3" ht="15" x14ac:dyDescent="0.35">
      <c r="A122" s="115"/>
      <c r="B122" s="117"/>
      <c r="C122" s="117"/>
    </row>
    <row r="123" spans="1:3" ht="15" x14ac:dyDescent="0.35">
      <c r="A123" s="115"/>
      <c r="B123" s="117"/>
      <c r="C123" s="117"/>
    </row>
    <row r="124" spans="1:3" ht="15" x14ac:dyDescent="0.35">
      <c r="A124" s="115"/>
      <c r="B124" s="117"/>
      <c r="C124" s="117"/>
    </row>
    <row r="125" spans="1:3" ht="15" x14ac:dyDescent="0.35">
      <c r="A125" s="115"/>
      <c r="B125" s="117"/>
      <c r="C125" s="117"/>
    </row>
    <row r="126" spans="1:3" ht="15" x14ac:dyDescent="0.35">
      <c r="A126" s="115"/>
      <c r="B126" s="117"/>
      <c r="C126" s="117"/>
    </row>
    <row r="127" spans="1:3" ht="15" x14ac:dyDescent="0.35">
      <c r="A127" s="115"/>
      <c r="B127" s="117"/>
      <c r="C127" s="117"/>
    </row>
    <row r="128" spans="1:3" ht="15" x14ac:dyDescent="0.35">
      <c r="A128" s="115"/>
      <c r="B128" s="117"/>
      <c r="C128" s="117"/>
    </row>
    <row r="129" spans="1:3" ht="15" x14ac:dyDescent="0.35">
      <c r="A129" s="115"/>
      <c r="B129" s="117"/>
      <c r="C129" s="117"/>
    </row>
    <row r="130" spans="1:3" ht="15" x14ac:dyDescent="0.35">
      <c r="A130" s="115"/>
      <c r="B130" s="117"/>
      <c r="C130" s="117"/>
    </row>
    <row r="131" spans="1:3" ht="15" x14ac:dyDescent="0.35">
      <c r="A131" s="115"/>
      <c r="B131" s="117"/>
      <c r="C131" s="117"/>
    </row>
    <row r="132" spans="1:3" ht="15" x14ac:dyDescent="0.35">
      <c r="A132" s="115"/>
      <c r="B132" s="117"/>
      <c r="C132" s="117"/>
    </row>
    <row r="133" spans="1:3" ht="15" x14ac:dyDescent="0.35">
      <c r="A133" s="115"/>
      <c r="B133" s="117" t="s">
        <v>445</v>
      </c>
      <c r="C133" s="117" t="s">
        <v>491</v>
      </c>
    </row>
    <row r="134" spans="1:3" ht="15" x14ac:dyDescent="0.35">
      <c r="A134" s="115"/>
      <c r="B134" s="117"/>
      <c r="C134" s="118" t="s">
        <v>475</v>
      </c>
    </row>
    <row r="135" spans="1:3" ht="15" x14ac:dyDescent="0.35">
      <c r="A135" s="115"/>
      <c r="B135" s="117"/>
      <c r="C135" s="118" t="s">
        <v>476</v>
      </c>
    </row>
    <row r="136" spans="1:3" ht="15" x14ac:dyDescent="0.35">
      <c r="A136" s="115"/>
      <c r="B136" s="117"/>
      <c r="C136" s="118" t="s">
        <v>477</v>
      </c>
    </row>
    <row r="137" spans="1:3" ht="15" x14ac:dyDescent="0.35">
      <c r="A137" s="115"/>
      <c r="B137" s="117"/>
      <c r="C137" s="117" t="s">
        <v>409</v>
      </c>
    </row>
    <row r="138" spans="1:3" ht="15" x14ac:dyDescent="0.35">
      <c r="A138" s="115"/>
      <c r="B138" s="117"/>
      <c r="C138" s="117"/>
    </row>
    <row r="139" spans="1:3" ht="15" x14ac:dyDescent="0.35">
      <c r="A139" s="115"/>
      <c r="B139" s="117" t="s">
        <v>446</v>
      </c>
      <c r="C139" s="117" t="s">
        <v>492</v>
      </c>
    </row>
    <row r="140" spans="1:3" ht="15" x14ac:dyDescent="0.35">
      <c r="A140" s="115"/>
      <c r="B140" s="117"/>
      <c r="C140" s="117" t="s">
        <v>493</v>
      </c>
    </row>
    <row r="141" spans="1:3" ht="15" x14ac:dyDescent="0.35">
      <c r="A141" s="115"/>
      <c r="B141" s="117"/>
      <c r="C141" s="117" t="s">
        <v>411</v>
      </c>
    </row>
    <row r="142" spans="1:3" ht="15" x14ac:dyDescent="0.35">
      <c r="A142" s="115"/>
      <c r="B142" s="117"/>
      <c r="C142" s="117"/>
    </row>
    <row r="143" spans="1:3" ht="15" x14ac:dyDescent="0.35">
      <c r="A143" s="115"/>
      <c r="B143" s="117" t="s">
        <v>447</v>
      </c>
      <c r="C143" s="117" t="s">
        <v>494</v>
      </c>
    </row>
    <row r="144" spans="1:3" ht="15" x14ac:dyDescent="0.35">
      <c r="A144" s="115"/>
      <c r="B144" s="117"/>
      <c r="C144" s="117" t="s">
        <v>410</v>
      </c>
    </row>
    <row r="145" spans="1:3" ht="15" x14ac:dyDescent="0.35">
      <c r="A145" s="115"/>
      <c r="B145" s="117"/>
      <c r="C145" s="117" t="s">
        <v>417</v>
      </c>
    </row>
    <row r="146" spans="1:3" ht="15" x14ac:dyDescent="0.35">
      <c r="A146" s="115"/>
      <c r="B146" s="117"/>
      <c r="C146" s="117"/>
    </row>
    <row r="147" spans="1:3" ht="15" x14ac:dyDescent="0.35">
      <c r="A147" s="115"/>
      <c r="B147" s="117"/>
      <c r="C147" s="117"/>
    </row>
    <row r="148" spans="1:3" ht="15" x14ac:dyDescent="0.35">
      <c r="A148" s="115"/>
      <c r="B148" s="117"/>
      <c r="C148" s="117"/>
    </row>
    <row r="149" spans="1:3" ht="15" x14ac:dyDescent="0.35">
      <c r="A149" s="115"/>
      <c r="B149" s="117"/>
      <c r="C149" s="117"/>
    </row>
    <row r="150" spans="1:3" ht="15" x14ac:dyDescent="0.35">
      <c r="A150" s="115"/>
      <c r="B150" s="117"/>
      <c r="C150" s="117"/>
    </row>
    <row r="151" spans="1:3" ht="15" x14ac:dyDescent="0.35">
      <c r="A151" s="115"/>
      <c r="B151" s="117"/>
      <c r="C151" s="117"/>
    </row>
    <row r="152" spans="1:3" ht="15" x14ac:dyDescent="0.35">
      <c r="A152" s="115"/>
      <c r="B152" s="117"/>
      <c r="C152" s="117"/>
    </row>
    <row r="153" spans="1:3" ht="15" x14ac:dyDescent="0.35">
      <c r="A153" s="115"/>
      <c r="B153" s="117"/>
      <c r="C153" s="117"/>
    </row>
    <row r="154" spans="1:3" ht="15" x14ac:dyDescent="0.35">
      <c r="A154" s="115"/>
      <c r="B154" s="117"/>
      <c r="C154" s="117"/>
    </row>
    <row r="155" spans="1:3" ht="15" x14ac:dyDescent="0.35">
      <c r="A155" s="115"/>
      <c r="B155" s="117"/>
      <c r="C155" s="117"/>
    </row>
    <row r="156" spans="1:3" ht="15" x14ac:dyDescent="0.35">
      <c r="A156" s="115"/>
      <c r="B156" s="117"/>
      <c r="C156" s="117"/>
    </row>
    <row r="157" spans="1:3" ht="15" x14ac:dyDescent="0.35">
      <c r="A157" s="115"/>
      <c r="B157" s="117"/>
      <c r="C157" s="117"/>
    </row>
    <row r="158" spans="1:3" ht="15" x14ac:dyDescent="0.35">
      <c r="A158" s="115"/>
      <c r="B158" s="117"/>
      <c r="C158" s="117"/>
    </row>
    <row r="159" spans="1:3" ht="15" x14ac:dyDescent="0.35">
      <c r="A159" s="115"/>
      <c r="B159" s="117"/>
      <c r="C159" s="117"/>
    </row>
    <row r="160" spans="1:3" ht="15" x14ac:dyDescent="0.35">
      <c r="A160" s="115"/>
      <c r="B160" s="117"/>
      <c r="C160" s="117"/>
    </row>
    <row r="161" spans="1:3" ht="15" x14ac:dyDescent="0.35">
      <c r="A161" s="115"/>
      <c r="B161" s="117"/>
      <c r="C161" s="117" t="s">
        <v>411</v>
      </c>
    </row>
    <row r="162" spans="1:3" ht="15" x14ac:dyDescent="0.35">
      <c r="A162" s="115"/>
      <c r="B162" s="115"/>
      <c r="C162" s="115"/>
    </row>
    <row r="163" spans="1:3" ht="15" x14ac:dyDescent="0.35">
      <c r="A163" s="115"/>
      <c r="B163" s="115"/>
      <c r="C163" s="115"/>
    </row>
    <row r="164" spans="1:3" ht="15" x14ac:dyDescent="0.35">
      <c r="A164" s="115"/>
      <c r="B164" s="116" t="s">
        <v>524</v>
      </c>
      <c r="C164" s="115"/>
    </row>
    <row r="165" spans="1:3" ht="43.2" x14ac:dyDescent="0.35">
      <c r="A165" s="115"/>
      <c r="B165" s="162" t="s">
        <v>533</v>
      </c>
      <c r="C165" s="169"/>
    </row>
    <row r="166" spans="1:3" ht="28.8" x14ac:dyDescent="0.35">
      <c r="A166" s="115"/>
      <c r="B166" s="168"/>
      <c r="C166" s="170" t="s">
        <v>534</v>
      </c>
    </row>
    <row r="167" spans="1:3" ht="43.2" x14ac:dyDescent="0.35">
      <c r="A167" s="115"/>
      <c r="B167" s="168"/>
      <c r="C167" s="170" t="s">
        <v>535</v>
      </c>
    </row>
    <row r="168" spans="1:3" ht="30" customHeight="1" x14ac:dyDescent="0.35">
      <c r="A168" s="115"/>
      <c r="B168" s="168" t="s">
        <v>536</v>
      </c>
      <c r="C168" s="168"/>
    </row>
    <row r="169" spans="1:3" ht="15" x14ac:dyDescent="0.35">
      <c r="A169" s="115"/>
      <c r="B169" s="115"/>
      <c r="C169" s="115"/>
    </row>
    <row r="170" spans="1:3" ht="15" x14ac:dyDescent="0.35">
      <c r="A170" s="115"/>
      <c r="B170" s="116" t="s">
        <v>460</v>
      </c>
      <c r="C170" s="115"/>
    </row>
    <row r="171" spans="1:3" ht="15" x14ac:dyDescent="0.35">
      <c r="A171" s="115"/>
      <c r="B171" s="117" t="s">
        <v>462</v>
      </c>
      <c r="C171" s="117"/>
    </row>
    <row r="172" spans="1:3" ht="15" x14ac:dyDescent="0.35">
      <c r="A172" s="115"/>
      <c r="B172" s="117" t="s">
        <v>506</v>
      </c>
      <c r="C172" s="117"/>
    </row>
    <row r="173" spans="1:3" ht="15" x14ac:dyDescent="0.35">
      <c r="A173" s="115"/>
      <c r="B173" s="115"/>
      <c r="C173" s="115"/>
    </row>
    <row r="174" spans="1:3" ht="15" x14ac:dyDescent="0.35">
      <c r="A174" s="115"/>
      <c r="B174" s="116" t="s">
        <v>461</v>
      </c>
      <c r="C174" s="115"/>
    </row>
    <row r="175" spans="1:3" ht="15" x14ac:dyDescent="0.35">
      <c r="A175" s="115"/>
      <c r="B175" s="117" t="s">
        <v>537</v>
      </c>
      <c r="C175" s="117"/>
    </row>
    <row r="176" spans="1:3" ht="15" x14ac:dyDescent="0.35">
      <c r="A176" s="115"/>
      <c r="B176" s="117" t="s">
        <v>541</v>
      </c>
      <c r="C176" s="117"/>
    </row>
    <row r="177" spans="1:3" ht="15" x14ac:dyDescent="0.35">
      <c r="A177" s="115"/>
      <c r="B177" s="123"/>
      <c r="C177" s="117"/>
    </row>
    <row r="178" spans="1:3" ht="15" x14ac:dyDescent="0.35">
      <c r="A178" s="115"/>
      <c r="B178" s="117"/>
      <c r="C178" s="117"/>
    </row>
    <row r="179" spans="1:3" ht="15" x14ac:dyDescent="0.35">
      <c r="A179" s="115"/>
      <c r="B179" s="117"/>
      <c r="C179" s="117"/>
    </row>
    <row r="180" spans="1:3" ht="15" x14ac:dyDescent="0.35">
      <c r="A180" s="115"/>
      <c r="B180" s="117"/>
      <c r="C180" s="117"/>
    </row>
    <row r="181" spans="1:3" ht="15" x14ac:dyDescent="0.35">
      <c r="A181" s="115"/>
      <c r="B181" s="115"/>
      <c r="C181" s="115"/>
    </row>
    <row r="182" spans="1:3" ht="15" x14ac:dyDescent="0.35">
      <c r="A182" s="115"/>
      <c r="B182" s="115"/>
      <c r="C182" s="115"/>
    </row>
    <row r="183" spans="1:3" ht="15" x14ac:dyDescent="0.35">
      <c r="A183" s="115"/>
      <c r="B183" s="115"/>
      <c r="C183" s="115"/>
    </row>
    <row r="184" spans="1:3" ht="15" x14ac:dyDescent="0.35">
      <c r="A184" s="115"/>
      <c r="B184" s="115"/>
      <c r="C184" s="115"/>
    </row>
    <row r="185" spans="1:3" ht="15" x14ac:dyDescent="0.35">
      <c r="A185" s="115"/>
      <c r="B185" s="115"/>
      <c r="C185" s="115"/>
    </row>
    <row r="186" spans="1:3" ht="15" x14ac:dyDescent="0.35">
      <c r="A186" s="115"/>
      <c r="B186" s="115"/>
      <c r="C186" s="115"/>
    </row>
    <row r="187" spans="1:3" ht="15" x14ac:dyDescent="0.35">
      <c r="A187" s="115"/>
      <c r="B187" s="115"/>
      <c r="C187" s="115"/>
    </row>
  </sheetData>
  <sheetProtection algorithmName="SHA-512" hashValue="OSL+vV1YB1hTcnnJ/B8+LCt+n64Z6I8AkqxrtwZRfh7XaSgvqODyBOz600NvZxgwdXEeiZft0oheQDGXaFTwfQ==" saltValue="/8oJ2ZlGHy928kIFiPtr3Q==" spinCount="100000" sheet="1" objects="1" scenarios="1" selectLockedCells="1"/>
  <hyperlinks>
    <hyperlink ref="B17" r:id="rId1" display="https://www.nen.nl/nta-8800-2020-a1-2020-nl-278296" xr:uid="{A5E1F3D0-0532-466C-AE2D-F0BAE119C90D}"/>
  </hyperlinks>
  <pageMargins left="0.7" right="0.7" top="0.75" bottom="0.75" header="0.3" footer="0.3"/>
  <pageSetup paperSize="9" orientation="portrait" r:id="rId2"/>
  <headerFooter>
    <oddFooter>&amp;L_x000D_&amp;1#&amp;"Calibri"&amp;10&amp;K000000 Intern gebruik</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03E7-2A76-4D98-BE2D-CBF66B38E173}">
  <sheetPr>
    <tabColor theme="0" tint="-0.249977111117893"/>
  </sheetPr>
  <dimension ref="A1:Z233"/>
  <sheetViews>
    <sheetView tabSelected="1" zoomScale="115" zoomScaleNormal="115" zoomScaleSheetLayoutView="85" workbookViewId="0">
      <pane ySplit="5" topLeftCell="A11" activePane="bottomLeft" state="frozen"/>
      <selection pane="bottomLeft" activeCell="C47" sqref="C47"/>
    </sheetView>
  </sheetViews>
  <sheetFormatPr defaultColWidth="8.88671875" defaultRowHeight="14.4" x14ac:dyDescent="0.3"/>
  <cols>
    <col min="1" max="1" width="5.6640625" style="63" customWidth="1"/>
    <col min="2" max="2" width="49.77734375" style="71" customWidth="1"/>
    <col min="3" max="3" width="44.77734375" style="71" customWidth="1"/>
    <col min="4" max="4" width="11.33203125" style="71" bestFit="1" customWidth="1"/>
    <col min="5" max="5" width="5.6640625" style="96" customWidth="1"/>
    <col min="6" max="6" width="5.6640625" style="71" customWidth="1"/>
    <col min="7" max="7" width="5.6640625" style="63" customWidth="1"/>
    <col min="8" max="9" width="8.88671875" style="63"/>
    <col min="10" max="16384" width="8.88671875" style="65"/>
  </cols>
  <sheetData>
    <row r="1" spans="2:26" ht="14.25" customHeight="1" x14ac:dyDescent="0.3">
      <c r="B1" s="167"/>
      <c r="E1" s="134"/>
      <c r="J1" s="64"/>
      <c r="K1" s="64"/>
      <c r="L1" s="64"/>
      <c r="M1" s="64"/>
      <c r="N1" s="64"/>
      <c r="O1" s="64"/>
      <c r="P1" s="64"/>
      <c r="Q1" s="64"/>
      <c r="R1" s="64"/>
      <c r="S1" s="64"/>
      <c r="T1" s="64"/>
      <c r="U1" s="64"/>
      <c r="V1" s="64"/>
      <c r="W1" s="64"/>
      <c r="X1" s="64"/>
      <c r="Y1" s="64"/>
      <c r="Z1" s="64"/>
    </row>
    <row r="2" spans="2:26" ht="23.4" x14ac:dyDescent="0.45">
      <c r="B2" s="148" t="s">
        <v>517</v>
      </c>
      <c r="C2" s="144"/>
      <c r="F2" s="133" t="str">
        <f>C31</f>
        <v/>
      </c>
      <c r="G2" s="63" t="str">
        <f>IF(NOT(C29=""),IF(C32&gt;=C30,"voldoet aan de eis","voldoet niet aan de eis"),"")</f>
        <v/>
      </c>
      <c r="J2" s="64"/>
      <c r="K2" s="64"/>
      <c r="L2" s="64"/>
      <c r="M2" s="64"/>
      <c r="N2" s="64"/>
      <c r="O2" s="64"/>
      <c r="P2" s="64"/>
      <c r="Q2" s="64"/>
      <c r="R2" s="64"/>
      <c r="S2" s="64"/>
      <c r="T2" s="64"/>
      <c r="U2" s="64"/>
      <c r="V2" s="64"/>
      <c r="W2" s="64"/>
      <c r="X2" s="64"/>
      <c r="Y2" s="64"/>
      <c r="Z2" s="64"/>
    </row>
    <row r="3" spans="2:26" ht="18" x14ac:dyDescent="0.35">
      <c r="B3" s="154" t="s">
        <v>518</v>
      </c>
      <c r="J3" s="64"/>
      <c r="K3" s="64"/>
      <c r="L3" s="64"/>
      <c r="M3" s="64"/>
      <c r="N3" s="64"/>
      <c r="O3" s="64"/>
      <c r="P3" s="64"/>
      <c r="Q3" s="64"/>
      <c r="R3" s="64"/>
      <c r="S3" s="64"/>
      <c r="T3" s="64"/>
      <c r="U3" s="64"/>
      <c r="V3" s="64"/>
      <c r="W3" s="64"/>
      <c r="X3" s="64"/>
      <c r="Y3" s="64"/>
      <c r="Z3" s="64"/>
    </row>
    <row r="4" spans="2:26" ht="13.2" customHeight="1" x14ac:dyDescent="0.3">
      <c r="B4" s="167" t="str">
        <f>Toelichting!$B$3</f>
        <v>versie: 2.0 - 28 december 2023</v>
      </c>
      <c r="J4" s="64"/>
      <c r="K4" s="64"/>
      <c r="L4" s="64"/>
      <c r="M4" s="64"/>
      <c r="N4" s="64"/>
      <c r="O4" s="64"/>
      <c r="P4" s="64"/>
      <c r="Q4" s="64"/>
      <c r="R4" s="64"/>
      <c r="S4" s="64"/>
      <c r="T4" s="64"/>
      <c r="U4" s="64"/>
      <c r="V4" s="64"/>
      <c r="W4" s="64"/>
      <c r="X4" s="64"/>
      <c r="Y4" s="64"/>
      <c r="Z4" s="64"/>
    </row>
    <row r="5" spans="2:26" ht="15" x14ac:dyDescent="0.35">
      <c r="B5" s="77" t="s">
        <v>279</v>
      </c>
      <c r="C5" s="76"/>
      <c r="D5" s="153"/>
      <c r="H5" s="77" t="s">
        <v>507</v>
      </c>
      <c r="I5" s="77"/>
      <c r="J5" s="64"/>
      <c r="K5" s="64"/>
      <c r="L5" s="64"/>
      <c r="M5" s="64"/>
      <c r="N5" s="64"/>
      <c r="O5" s="64"/>
      <c r="P5" s="64"/>
      <c r="Q5" s="64"/>
      <c r="R5" s="64"/>
      <c r="S5" s="64"/>
      <c r="T5" s="64"/>
      <c r="U5" s="64"/>
      <c r="V5" s="64"/>
      <c r="W5" s="64"/>
      <c r="X5" s="64"/>
      <c r="Y5" s="64"/>
      <c r="Z5" s="64"/>
    </row>
    <row r="6" spans="2:26" ht="15" x14ac:dyDescent="0.35">
      <c r="B6" s="81" t="s">
        <v>287</v>
      </c>
      <c r="C6" s="176"/>
      <c r="D6" s="176"/>
      <c r="H6" s="77" t="s">
        <v>519</v>
      </c>
      <c r="I6" s="77"/>
      <c r="J6" s="64"/>
      <c r="K6" s="64"/>
      <c r="L6" s="64"/>
      <c r="M6" s="64"/>
      <c r="N6" s="64"/>
      <c r="O6" s="64"/>
      <c r="P6" s="64"/>
      <c r="Q6" s="64"/>
      <c r="R6" s="64"/>
      <c r="S6" s="64"/>
      <c r="T6" s="64"/>
      <c r="U6" s="64"/>
      <c r="V6" s="64"/>
      <c r="W6" s="64"/>
      <c r="X6" s="64"/>
      <c r="Y6" s="64"/>
      <c r="Z6" s="64"/>
    </row>
    <row r="7" spans="2:26" ht="15" x14ac:dyDescent="0.35">
      <c r="B7" s="79" t="s">
        <v>285</v>
      </c>
      <c r="C7" s="171"/>
      <c r="D7" s="171"/>
      <c r="J7" s="64"/>
      <c r="K7" s="64"/>
      <c r="L7" s="64"/>
      <c r="M7" s="64"/>
      <c r="N7" s="64"/>
      <c r="O7" s="64"/>
      <c r="P7" s="64"/>
      <c r="Q7" s="64"/>
      <c r="R7" s="64"/>
      <c r="S7" s="64"/>
      <c r="T7" s="64"/>
      <c r="U7" s="64"/>
      <c r="V7" s="64"/>
      <c r="W7" s="64"/>
      <c r="X7" s="64"/>
      <c r="Y7" s="64"/>
      <c r="Z7" s="64"/>
    </row>
    <row r="8" spans="2:26" ht="15" x14ac:dyDescent="0.35">
      <c r="B8" s="79" t="s">
        <v>514</v>
      </c>
      <c r="C8" s="171"/>
      <c r="D8" s="171"/>
      <c r="J8" s="64"/>
      <c r="K8" s="64"/>
      <c r="L8" s="64"/>
      <c r="M8" s="64"/>
      <c r="N8" s="64"/>
      <c r="O8" s="64"/>
      <c r="P8" s="64"/>
      <c r="Q8" s="64"/>
      <c r="R8" s="64"/>
      <c r="S8" s="64"/>
      <c r="T8" s="64"/>
      <c r="U8" s="64"/>
      <c r="V8" s="64"/>
      <c r="W8" s="64"/>
      <c r="X8" s="64"/>
      <c r="Y8" s="64"/>
      <c r="Z8" s="64"/>
    </row>
    <row r="9" spans="2:26" ht="15" x14ac:dyDescent="0.35">
      <c r="B9" s="79" t="s">
        <v>340</v>
      </c>
      <c r="C9" s="171"/>
      <c r="D9" s="171"/>
      <c r="J9" s="64"/>
      <c r="K9" s="64"/>
      <c r="L9" s="64"/>
      <c r="M9" s="64"/>
      <c r="N9" s="64"/>
      <c r="O9" s="64"/>
      <c r="P9" s="64"/>
      <c r="Q9" s="64"/>
      <c r="R9" s="64"/>
      <c r="S9" s="64"/>
      <c r="T9" s="64"/>
      <c r="U9" s="64"/>
      <c r="V9" s="64"/>
      <c r="W9" s="64"/>
      <c r="X9" s="64"/>
      <c r="Y9" s="64"/>
      <c r="Z9" s="64"/>
    </row>
    <row r="10" spans="2:26" ht="15" x14ac:dyDescent="0.35">
      <c r="B10" s="80" t="s">
        <v>341</v>
      </c>
      <c r="C10" s="179"/>
      <c r="D10" s="180"/>
      <c r="J10" s="64"/>
      <c r="K10" s="64"/>
      <c r="L10" s="64"/>
      <c r="M10" s="64"/>
      <c r="N10" s="64"/>
      <c r="O10" s="64"/>
      <c r="P10" s="64"/>
      <c r="Q10" s="64"/>
      <c r="R10" s="64"/>
      <c r="S10" s="64"/>
      <c r="T10" s="64"/>
      <c r="U10" s="64"/>
      <c r="V10" s="64"/>
      <c r="W10" s="64"/>
      <c r="X10" s="64"/>
      <c r="Y10" s="64"/>
      <c r="Z10" s="64"/>
    </row>
    <row r="11" spans="2:26" ht="15" x14ac:dyDescent="0.35">
      <c r="B11" s="80" t="s">
        <v>513</v>
      </c>
      <c r="C11" s="174"/>
      <c r="D11" s="178"/>
      <c r="J11" s="64"/>
      <c r="K11" s="64"/>
      <c r="L11" s="64"/>
      <c r="M11" s="64"/>
      <c r="N11" s="64"/>
      <c r="O11" s="64"/>
      <c r="P11" s="64"/>
      <c r="Q11" s="64"/>
      <c r="R11" s="64"/>
      <c r="S11" s="64"/>
      <c r="T11" s="64"/>
      <c r="U11" s="64"/>
      <c r="V11" s="64"/>
      <c r="W11" s="64"/>
      <c r="X11" s="64"/>
      <c r="Y11" s="64"/>
      <c r="Z11" s="64"/>
    </row>
    <row r="12" spans="2:26" x14ac:dyDescent="0.3">
      <c r="C12" s="104"/>
      <c r="D12" s="104"/>
      <c r="J12" s="64"/>
      <c r="K12" s="64"/>
      <c r="L12" s="64"/>
      <c r="M12" s="64"/>
      <c r="N12" s="64"/>
      <c r="O12" s="64"/>
      <c r="P12" s="64"/>
      <c r="Q12" s="64"/>
      <c r="R12" s="64"/>
      <c r="S12" s="64"/>
      <c r="T12" s="64"/>
      <c r="U12" s="64"/>
      <c r="V12" s="64"/>
      <c r="W12" s="64"/>
      <c r="X12" s="64"/>
      <c r="Y12" s="64"/>
      <c r="Z12" s="64"/>
    </row>
    <row r="13" spans="2:26" ht="15" x14ac:dyDescent="0.35">
      <c r="B13" s="77" t="s">
        <v>286</v>
      </c>
      <c r="C13" s="177"/>
      <c r="D13" s="177"/>
      <c r="J13" s="64"/>
      <c r="K13" s="64"/>
      <c r="L13" s="64"/>
      <c r="M13" s="64"/>
      <c r="N13" s="64"/>
      <c r="O13" s="64"/>
      <c r="P13" s="64"/>
      <c r="Q13" s="64"/>
      <c r="R13" s="64"/>
      <c r="S13" s="64"/>
      <c r="T13" s="64"/>
      <c r="U13" s="64"/>
      <c r="V13" s="64"/>
      <c r="W13" s="64"/>
      <c r="X13" s="64"/>
      <c r="Y13" s="64"/>
      <c r="Z13" s="64"/>
    </row>
    <row r="14" spans="2:26" ht="15" x14ac:dyDescent="0.35">
      <c r="B14" s="81" t="s">
        <v>280</v>
      </c>
      <c r="C14" s="175"/>
      <c r="D14" s="175"/>
      <c r="J14" s="64"/>
      <c r="K14" s="64"/>
      <c r="L14" s="64"/>
      <c r="M14" s="64"/>
      <c r="N14" s="64"/>
      <c r="O14" s="64"/>
      <c r="P14" s="64"/>
      <c r="Q14" s="64"/>
      <c r="R14" s="64"/>
      <c r="S14" s="64"/>
      <c r="T14" s="64"/>
      <c r="U14" s="64"/>
      <c r="V14" s="64"/>
      <c r="W14" s="64"/>
      <c r="X14" s="64"/>
      <c r="Y14" s="64"/>
      <c r="Z14" s="64"/>
    </row>
    <row r="15" spans="2:26" ht="15" x14ac:dyDescent="0.35">
      <c r="B15" s="79" t="s">
        <v>281</v>
      </c>
      <c r="C15" s="171"/>
      <c r="D15" s="171"/>
      <c r="J15" s="64"/>
      <c r="K15" s="64"/>
      <c r="L15" s="64"/>
      <c r="M15" s="64"/>
      <c r="N15" s="64"/>
      <c r="O15" s="64"/>
      <c r="P15" s="64"/>
      <c r="Q15" s="64"/>
      <c r="R15" s="64"/>
      <c r="S15" s="64"/>
      <c r="T15" s="64"/>
      <c r="U15" s="64"/>
      <c r="V15" s="64"/>
      <c r="W15" s="64"/>
      <c r="X15" s="64"/>
      <c r="Y15" s="64"/>
      <c r="Z15" s="64"/>
    </row>
    <row r="16" spans="2:26" ht="15" x14ac:dyDescent="0.35">
      <c r="B16" s="79" t="s">
        <v>282</v>
      </c>
      <c r="C16" s="171"/>
      <c r="D16" s="171"/>
      <c r="J16" s="64"/>
      <c r="K16" s="64"/>
      <c r="L16" s="64"/>
      <c r="M16" s="64"/>
      <c r="N16" s="64"/>
      <c r="O16" s="64"/>
      <c r="P16" s="64"/>
      <c r="Q16" s="64"/>
      <c r="R16" s="64"/>
      <c r="S16" s="64"/>
      <c r="T16" s="64"/>
      <c r="U16" s="64"/>
      <c r="V16" s="64"/>
      <c r="W16" s="64"/>
      <c r="X16" s="64"/>
      <c r="Y16" s="64"/>
      <c r="Z16" s="64"/>
    </row>
    <row r="17" spans="1:26" ht="15" x14ac:dyDescent="0.35">
      <c r="B17" s="79" t="s">
        <v>283</v>
      </c>
      <c r="C17" s="171"/>
      <c r="D17" s="171"/>
      <c r="J17" s="64"/>
      <c r="K17" s="64"/>
      <c r="L17" s="64"/>
      <c r="M17" s="64"/>
      <c r="N17" s="64"/>
      <c r="O17" s="64"/>
      <c r="P17" s="64"/>
      <c r="Q17" s="64"/>
      <c r="R17" s="64"/>
      <c r="S17" s="64"/>
      <c r="T17" s="64"/>
      <c r="U17" s="64"/>
      <c r="V17" s="64"/>
      <c r="W17" s="64"/>
      <c r="X17" s="64"/>
      <c r="Y17" s="64"/>
      <c r="Z17" s="64"/>
    </row>
    <row r="18" spans="1:26" ht="15" x14ac:dyDescent="0.35">
      <c r="B18" s="80" t="s">
        <v>284</v>
      </c>
      <c r="C18" s="171"/>
      <c r="D18" s="171"/>
      <c r="J18" s="64"/>
      <c r="K18" s="64"/>
      <c r="L18" s="64"/>
      <c r="M18" s="64"/>
      <c r="N18" s="64"/>
      <c r="O18" s="64"/>
      <c r="P18" s="64"/>
      <c r="Q18" s="64"/>
      <c r="R18" s="64"/>
      <c r="S18" s="64"/>
      <c r="T18" s="64"/>
      <c r="U18" s="64"/>
      <c r="V18" s="64"/>
      <c r="W18" s="64"/>
      <c r="X18" s="64"/>
      <c r="Y18" s="64"/>
      <c r="Z18" s="64"/>
    </row>
    <row r="19" spans="1:26" ht="30" customHeight="1" x14ac:dyDescent="0.35">
      <c r="B19" s="151" t="s">
        <v>512</v>
      </c>
      <c r="C19" s="174"/>
      <c r="D19" s="174"/>
      <c r="J19" s="64"/>
      <c r="K19" s="64"/>
      <c r="L19" s="64"/>
      <c r="M19" s="64"/>
      <c r="N19" s="64"/>
      <c r="O19" s="64"/>
      <c r="P19" s="64"/>
      <c r="Q19" s="64"/>
      <c r="R19" s="64"/>
      <c r="S19" s="64"/>
      <c r="T19" s="64"/>
      <c r="U19" s="64"/>
      <c r="V19" s="64"/>
      <c r="W19" s="64"/>
      <c r="X19" s="64"/>
      <c r="Y19" s="64"/>
      <c r="Z19" s="64"/>
    </row>
    <row r="20" spans="1:26" x14ac:dyDescent="0.3">
      <c r="B20" s="67"/>
      <c r="J20" s="64"/>
      <c r="K20" s="64"/>
      <c r="L20" s="64"/>
      <c r="M20" s="64"/>
      <c r="N20" s="64"/>
      <c r="O20" s="64"/>
      <c r="P20" s="64"/>
      <c r="Q20" s="64"/>
      <c r="R20" s="64"/>
      <c r="S20" s="64"/>
      <c r="T20" s="64"/>
      <c r="U20" s="64"/>
      <c r="V20" s="64"/>
      <c r="W20" s="64"/>
      <c r="X20" s="64"/>
      <c r="Y20" s="64"/>
      <c r="Z20" s="64"/>
    </row>
    <row r="21" spans="1:26" ht="18" x14ac:dyDescent="0.35">
      <c r="B21" s="77" t="s">
        <v>320</v>
      </c>
      <c r="C21" s="103"/>
      <c r="D21" s="76"/>
      <c r="J21" s="64"/>
      <c r="K21" s="64"/>
      <c r="L21" s="64"/>
      <c r="N21" s="64"/>
      <c r="O21" s="64"/>
      <c r="P21" s="64"/>
      <c r="Q21" s="64"/>
      <c r="R21" s="64"/>
      <c r="S21" s="64"/>
      <c r="T21" s="64"/>
      <c r="U21" s="64"/>
      <c r="V21" s="64"/>
      <c r="W21" s="64"/>
      <c r="X21" s="64"/>
      <c r="Y21" s="64"/>
      <c r="Z21" s="64"/>
    </row>
    <row r="22" spans="1:26" ht="16.8" x14ac:dyDescent="0.4">
      <c r="B22" s="149" t="s">
        <v>515</v>
      </c>
      <c r="C22" s="135"/>
      <c r="D22" s="92" t="s">
        <v>424</v>
      </c>
      <c r="J22" s="64"/>
      <c r="K22" s="64"/>
      <c r="L22" s="64"/>
      <c r="M22" s="64"/>
      <c r="N22" s="64"/>
      <c r="O22" s="64"/>
      <c r="P22" s="64"/>
      <c r="Q22" s="64"/>
      <c r="R22" s="64"/>
      <c r="S22" s="64"/>
      <c r="T22" s="64"/>
      <c r="U22" s="64"/>
      <c r="V22" s="64"/>
      <c r="W22" s="64"/>
      <c r="X22" s="64"/>
      <c r="Y22" s="64"/>
      <c r="Z22" s="64"/>
    </row>
    <row r="23" spans="1:26" ht="15" customHeight="1" x14ac:dyDescent="0.4">
      <c r="B23" s="150" t="s">
        <v>516</v>
      </c>
      <c r="C23" s="136"/>
      <c r="D23" s="92" t="s">
        <v>424</v>
      </c>
      <c r="J23" s="64"/>
      <c r="K23" s="64"/>
      <c r="L23" s="64"/>
      <c r="M23" s="64"/>
      <c r="N23" s="64"/>
      <c r="O23" s="64"/>
      <c r="P23" s="64"/>
      <c r="Q23" s="64"/>
      <c r="R23" s="64"/>
      <c r="S23" s="64"/>
      <c r="T23" s="64"/>
      <c r="U23" s="64"/>
      <c r="V23" s="64"/>
      <c r="W23" s="64"/>
      <c r="X23" s="64"/>
      <c r="Y23" s="64"/>
      <c r="Z23" s="64"/>
    </row>
    <row r="24" spans="1:26" ht="17.399999999999999" customHeight="1" x14ac:dyDescent="0.35">
      <c r="B24" s="173"/>
      <c r="C24" s="173"/>
      <c r="D24" s="75"/>
      <c r="J24" s="64"/>
      <c r="K24" s="64"/>
      <c r="L24" s="64"/>
      <c r="M24" s="64"/>
      <c r="N24" s="64"/>
      <c r="O24" s="64"/>
      <c r="P24" s="64"/>
      <c r="Q24" s="64"/>
      <c r="R24" s="64"/>
      <c r="S24" s="64"/>
      <c r="T24" s="64"/>
      <c r="U24" s="64"/>
      <c r="V24" s="64"/>
      <c r="W24" s="64"/>
      <c r="X24" s="64"/>
      <c r="Y24" s="64"/>
      <c r="Z24" s="64"/>
    </row>
    <row r="25" spans="1:26" ht="15" x14ac:dyDescent="0.35">
      <c r="D25" s="76"/>
      <c r="J25" s="64"/>
      <c r="K25" s="64"/>
      <c r="L25" s="64"/>
      <c r="M25" s="64"/>
      <c r="N25" s="64"/>
      <c r="O25" s="64"/>
      <c r="P25" s="64"/>
      <c r="Q25" s="64"/>
      <c r="R25" s="64"/>
      <c r="S25" s="64"/>
      <c r="T25" s="64"/>
      <c r="U25" s="64"/>
      <c r="V25" s="64"/>
      <c r="W25" s="64"/>
      <c r="X25" s="64"/>
      <c r="Y25" s="64"/>
      <c r="Z25" s="64"/>
    </row>
    <row r="26" spans="1:26" ht="15" x14ac:dyDescent="0.35">
      <c r="B26" s="77" t="s">
        <v>339</v>
      </c>
      <c r="D26" s="76"/>
      <c r="J26" s="64"/>
      <c r="K26" s="64"/>
      <c r="L26" s="64"/>
      <c r="M26" s="64"/>
      <c r="N26" s="64"/>
      <c r="O26" s="64"/>
      <c r="P26" s="64"/>
      <c r="Q26" s="64"/>
      <c r="R26" s="64"/>
      <c r="S26" s="64"/>
      <c r="T26" s="64"/>
      <c r="U26" s="64"/>
      <c r="V26" s="64"/>
      <c r="W26" s="64"/>
      <c r="X26" s="64"/>
      <c r="Y26" s="64"/>
      <c r="Z26" s="64"/>
    </row>
    <row r="27" spans="1:26" s="70" customFormat="1" ht="28.95" customHeight="1" x14ac:dyDescent="0.3">
      <c r="A27" s="68"/>
      <c r="B27" s="172" t="s">
        <v>511</v>
      </c>
      <c r="C27" s="172"/>
      <c r="D27" s="84"/>
      <c r="E27" s="97"/>
      <c r="F27" s="98"/>
      <c r="G27" s="68"/>
      <c r="H27" s="68"/>
      <c r="I27" s="68"/>
      <c r="J27" s="69"/>
      <c r="K27" s="69"/>
      <c r="L27" s="69"/>
      <c r="M27" s="69"/>
      <c r="N27" s="69"/>
      <c r="O27" s="69"/>
      <c r="P27" s="69"/>
      <c r="Q27" s="69"/>
      <c r="R27" s="69"/>
      <c r="S27" s="69"/>
      <c r="T27" s="69"/>
      <c r="U27" s="69"/>
      <c r="V27" s="69"/>
      <c r="W27" s="69"/>
      <c r="X27" s="69"/>
      <c r="Y27" s="69"/>
      <c r="Z27" s="69"/>
    </row>
    <row r="28" spans="1:26" ht="15.6" x14ac:dyDescent="0.4">
      <c r="B28" s="82" t="s">
        <v>422</v>
      </c>
      <c r="C28" s="105" t="str">
        <f>IF(OR(C22="",C23=""),"vul gebruiks- en dakoppervlak in",(C23/C22))</f>
        <v>vul gebruiks- en dakoppervlak in</v>
      </c>
      <c r="D28" s="92" t="s">
        <v>72</v>
      </c>
      <c r="J28" s="64"/>
      <c r="K28" s="64"/>
      <c r="L28" s="64"/>
      <c r="M28" s="64"/>
      <c r="N28" s="64"/>
      <c r="O28" s="64"/>
      <c r="P28" s="64"/>
      <c r="Q28" s="64"/>
      <c r="R28" s="64"/>
      <c r="S28" s="64"/>
      <c r="T28" s="64"/>
      <c r="U28" s="64"/>
      <c r="V28" s="64"/>
      <c r="W28" s="64"/>
      <c r="X28" s="64"/>
      <c r="Y28" s="64"/>
      <c r="Z28" s="64"/>
    </row>
    <row r="29" spans="1:26" ht="15.6" x14ac:dyDescent="0.4">
      <c r="B29" s="82" t="s">
        <v>423</v>
      </c>
      <c r="C29" s="105" t="str">
        <f>IF(OR(C22="",C23=""),"",(IF(C28&gt;1,1,C28)))</f>
        <v/>
      </c>
      <c r="D29" s="92" t="s">
        <v>72</v>
      </c>
      <c r="F29" s="99"/>
      <c r="J29" s="64"/>
      <c r="K29" s="64"/>
      <c r="L29" s="64"/>
      <c r="M29" s="64"/>
      <c r="N29" s="64"/>
      <c r="O29" s="64"/>
      <c r="P29" s="64"/>
      <c r="Q29" s="64"/>
      <c r="R29" s="64"/>
      <c r="S29" s="64"/>
      <c r="T29" s="64"/>
      <c r="U29" s="64"/>
      <c r="V29" s="64"/>
      <c r="W29" s="64"/>
      <c r="X29" s="64"/>
      <c r="Y29" s="64"/>
      <c r="Z29" s="64"/>
    </row>
    <row r="30" spans="1:26" ht="16.2" x14ac:dyDescent="0.35">
      <c r="B30" s="82" t="s">
        <v>496</v>
      </c>
      <c r="C30" s="105" t="str">
        <f>IF(OR(C22="",C23=""),"",(30*C29))</f>
        <v/>
      </c>
      <c r="D30" s="129" t="s">
        <v>500</v>
      </c>
      <c r="J30" s="64"/>
      <c r="K30" s="64"/>
      <c r="L30" s="64"/>
      <c r="M30" s="64"/>
      <c r="N30" s="64"/>
      <c r="O30" s="64"/>
      <c r="P30" s="64"/>
      <c r="Q30" s="64"/>
      <c r="R30" s="64"/>
      <c r="S30" s="64"/>
      <c r="T30" s="64"/>
      <c r="U30" s="64"/>
      <c r="V30" s="64"/>
      <c r="W30" s="64"/>
      <c r="X30" s="64"/>
      <c r="Y30" s="64"/>
      <c r="Z30" s="64"/>
    </row>
    <row r="31" spans="1:26" ht="15" x14ac:dyDescent="0.35">
      <c r="B31" s="145" t="str">
        <f>IF(NOT(D22=""),"Wordt er voldaan aan de eis voor hernieuwbare energie?","")</f>
        <v>Wordt er voldaan aan de eis voor hernieuwbare energie?</v>
      </c>
      <c r="C31" s="130" t="str">
        <f>IF(NOT(C29=""),IF(C32&gt;=C30,"ja","nee"),"")</f>
        <v/>
      </c>
      <c r="D31" s="75"/>
      <c r="J31" s="64"/>
      <c r="K31" s="64"/>
      <c r="L31" s="64"/>
      <c r="M31" s="64"/>
      <c r="N31" s="64"/>
      <c r="O31" s="64"/>
      <c r="P31" s="64"/>
      <c r="Q31" s="64"/>
      <c r="R31" s="64"/>
      <c r="S31" s="64"/>
      <c r="T31" s="64"/>
      <c r="U31" s="64"/>
      <c r="V31" s="64"/>
      <c r="W31" s="64"/>
      <c r="X31" s="64"/>
      <c r="Y31" s="64"/>
      <c r="Z31" s="64"/>
    </row>
    <row r="32" spans="1:26" ht="16.2" x14ac:dyDescent="0.35">
      <c r="B32" s="152" t="s">
        <v>501</v>
      </c>
      <c r="C32" s="131">
        <f ca="1">IFERROR(Opbrengst_tot_kWh_m2_jaar,0)</f>
        <v>0</v>
      </c>
      <c r="D32" s="129" t="s">
        <v>500</v>
      </c>
      <c r="J32" s="64"/>
      <c r="K32" s="64"/>
      <c r="L32" s="64"/>
      <c r="M32" s="64"/>
      <c r="N32" s="64"/>
      <c r="O32" s="64"/>
      <c r="P32" s="64"/>
      <c r="Q32" s="64"/>
      <c r="R32" s="64"/>
      <c r="S32" s="64"/>
      <c r="T32" s="64"/>
      <c r="U32" s="64"/>
      <c r="V32" s="64"/>
      <c r="W32" s="64"/>
      <c r="X32" s="64"/>
      <c r="Y32" s="64"/>
      <c r="Z32" s="64"/>
    </row>
    <row r="33" spans="2:26" ht="20.399999999999999" customHeight="1" x14ac:dyDescent="0.35">
      <c r="B33" s="77" t="s">
        <v>322</v>
      </c>
      <c r="C33" s="146" t="s">
        <v>289</v>
      </c>
      <c r="D33" s="67"/>
      <c r="J33" s="64"/>
      <c r="K33" s="64"/>
      <c r="L33" s="64"/>
      <c r="M33" s="64"/>
      <c r="N33" s="64"/>
      <c r="O33" s="64"/>
      <c r="P33" s="64"/>
      <c r="Q33" s="64"/>
      <c r="R33" s="64"/>
      <c r="S33" s="64"/>
      <c r="T33" s="64"/>
      <c r="U33" s="64"/>
      <c r="V33" s="64"/>
      <c r="W33" s="64"/>
      <c r="X33" s="64"/>
      <c r="Y33" s="64"/>
      <c r="Z33" s="64"/>
    </row>
    <row r="34" spans="2:26" ht="15" x14ac:dyDescent="0.35">
      <c r="B34" s="81" t="s">
        <v>336</v>
      </c>
      <c r="C34" s="137" t="s">
        <v>509</v>
      </c>
      <c r="D34" s="89"/>
      <c r="J34" s="64"/>
      <c r="K34" s="64"/>
      <c r="L34" s="64"/>
      <c r="M34" s="64"/>
      <c r="N34" s="64"/>
      <c r="O34" s="64"/>
      <c r="P34" s="64"/>
      <c r="Q34" s="64"/>
      <c r="R34" s="64"/>
      <c r="S34" s="64"/>
      <c r="T34" s="64"/>
      <c r="U34" s="64"/>
      <c r="V34" s="64"/>
      <c r="W34" s="64"/>
      <c r="X34" s="64"/>
      <c r="Y34" s="64"/>
      <c r="Z34" s="64"/>
    </row>
    <row r="35" spans="2:26" ht="15" x14ac:dyDescent="0.35">
      <c r="B35" s="79" t="s">
        <v>298</v>
      </c>
      <c r="C35" s="138" t="s">
        <v>300</v>
      </c>
      <c r="D35" s="95"/>
      <c r="J35" s="64"/>
      <c r="K35" s="64"/>
      <c r="L35" s="64"/>
      <c r="M35" s="64"/>
      <c r="N35" s="64"/>
      <c r="O35" s="64"/>
      <c r="P35" s="64"/>
      <c r="Q35" s="64"/>
      <c r="R35" s="64"/>
      <c r="S35" s="64"/>
      <c r="T35" s="64"/>
      <c r="U35" s="64"/>
      <c r="V35" s="64"/>
      <c r="W35" s="64"/>
      <c r="X35" s="64"/>
      <c r="Y35" s="64"/>
      <c r="Z35" s="64"/>
    </row>
    <row r="36" spans="2:26" ht="16.5" customHeight="1" x14ac:dyDescent="0.35">
      <c r="B36" s="145" t="str">
        <f>IF(C35="nieuw systeem","Let op: Als er al panelen aanwezig zijn en deze blijven na renovatie, voer deze dan in als apart systeem.","Wat is het installatiejaar van de PV-panelen?")</f>
        <v>Wat is het installatiejaar van de PV-panelen?</v>
      </c>
      <c r="C36" s="142"/>
      <c r="D36" s="90" t="str">
        <f>IF(C35="bestaand systeem","bv. 1995","")</f>
        <v>bv. 1995</v>
      </c>
      <c r="J36" s="64"/>
      <c r="K36" s="64"/>
      <c r="L36" s="64"/>
      <c r="M36" s="64"/>
      <c r="N36" s="64"/>
      <c r="O36" s="64"/>
      <c r="P36" s="64"/>
      <c r="Q36" s="64"/>
      <c r="R36" s="64"/>
      <c r="S36" s="64"/>
      <c r="T36" s="64"/>
      <c r="U36" s="64"/>
      <c r="V36" s="64"/>
      <c r="W36" s="64"/>
      <c r="X36" s="64"/>
      <c r="Y36" s="64"/>
      <c r="Z36" s="64"/>
    </row>
    <row r="37" spans="2:26" ht="15" x14ac:dyDescent="0.35">
      <c r="B37" s="80"/>
      <c r="C37" s="83"/>
      <c r="D37" s="88"/>
      <c r="J37" s="64"/>
      <c r="K37" s="64"/>
      <c r="L37" s="64"/>
      <c r="M37" s="64"/>
      <c r="N37" s="64"/>
      <c r="O37" s="64"/>
      <c r="P37" s="64"/>
      <c r="Q37" s="64"/>
      <c r="R37" s="64"/>
      <c r="S37" s="64"/>
      <c r="T37" s="64"/>
      <c r="U37" s="64"/>
      <c r="V37" s="64"/>
      <c r="W37" s="64"/>
      <c r="X37" s="64"/>
      <c r="Y37" s="64"/>
      <c r="Z37" s="64"/>
    </row>
    <row r="38" spans="2:26" ht="15" x14ac:dyDescent="0.35">
      <c r="B38" s="81" t="s">
        <v>426</v>
      </c>
      <c r="C38" s="139" t="s">
        <v>508</v>
      </c>
      <c r="D38" s="89"/>
      <c r="J38" s="64"/>
      <c r="K38" s="64"/>
      <c r="L38" s="64"/>
      <c r="M38" s="64"/>
      <c r="N38" s="64"/>
      <c r="O38" s="64"/>
      <c r="P38" s="64"/>
      <c r="Q38" s="64"/>
      <c r="R38" s="64"/>
      <c r="S38" s="64"/>
      <c r="T38" s="64"/>
      <c r="U38" s="64"/>
      <c r="V38" s="64"/>
      <c r="W38" s="64"/>
      <c r="X38" s="64"/>
      <c r="Y38" s="64"/>
      <c r="Z38" s="64"/>
    </row>
    <row r="39" spans="2:26" ht="15" x14ac:dyDescent="0.35">
      <c r="B39" s="79" t="s">
        <v>288</v>
      </c>
      <c r="C39" s="140" t="s">
        <v>290</v>
      </c>
      <c r="D39" s="89"/>
      <c r="J39" s="64"/>
      <c r="K39" s="64"/>
      <c r="L39" s="64"/>
      <c r="M39" s="64"/>
      <c r="N39" s="64"/>
      <c r="O39" s="64"/>
      <c r="P39" s="64"/>
      <c r="Q39" s="64"/>
      <c r="R39" s="64"/>
      <c r="S39" s="64"/>
      <c r="T39" s="64"/>
      <c r="U39" s="64"/>
      <c r="V39" s="64"/>
      <c r="W39" s="64"/>
      <c r="X39" s="64"/>
      <c r="Y39" s="64"/>
      <c r="Z39" s="64"/>
    </row>
    <row r="40" spans="2:26" ht="15" x14ac:dyDescent="0.35">
      <c r="B40" s="79" cm="1">
        <f t="array" ref="B40">INDEX(keuzePV,(VLOOKUP(C39,Systeemdetails,2,FALSE)+1),'Drop-down'!$M$22)</f>
        <v>0</v>
      </c>
      <c r="C40" s="164"/>
      <c r="D40" s="91" cm="1">
        <f t="array" ref="D40">INDEX(keuzePV,(VLOOKUP(C39,Systeemdetails,2,FALSE)+1),'Drop-down'!$N$22)</f>
        <v>0</v>
      </c>
      <c r="J40" s="64"/>
      <c r="K40" s="64"/>
      <c r="L40" s="64"/>
      <c r="M40" s="64"/>
      <c r="N40" s="64"/>
      <c r="O40" s="64"/>
      <c r="P40" s="64"/>
      <c r="Q40" s="64"/>
      <c r="R40" s="64"/>
      <c r="S40" s="64"/>
      <c r="T40" s="64"/>
      <c r="U40" s="64"/>
      <c r="V40" s="64"/>
      <c r="W40" s="64"/>
      <c r="X40" s="64"/>
      <c r="Y40" s="64"/>
      <c r="Z40" s="64"/>
    </row>
    <row r="41" spans="2:26" ht="15" x14ac:dyDescent="0.35">
      <c r="B41" s="79" cm="1">
        <f t="array" ref="B41">INDEX(keuzePV,(VLOOKUP(C39,Systeemdetails,2,FALSE)+1),'Drop-down'!$O$22)</f>
        <v>0</v>
      </c>
      <c r="C41" s="163"/>
      <c r="D41" s="91" cm="1">
        <f t="array" ref="D41">INDEX(keuzePV,(VLOOKUP(C39,Systeemdetails,2,FALSE)+1),'Drop-down'!$P$22)</f>
        <v>0</v>
      </c>
      <c r="J41" s="64"/>
      <c r="K41" s="64"/>
      <c r="L41" s="64"/>
      <c r="M41" s="64"/>
      <c r="N41" s="64"/>
      <c r="O41" s="64"/>
      <c r="P41" s="64"/>
      <c r="Q41" s="64"/>
      <c r="R41" s="64"/>
      <c r="S41" s="64"/>
      <c r="T41" s="64"/>
      <c r="U41" s="64"/>
      <c r="V41" s="64"/>
      <c r="W41" s="64"/>
      <c r="X41" s="64"/>
      <c r="Y41" s="64"/>
      <c r="Z41" s="64"/>
    </row>
    <row r="42" spans="2:26" ht="15" x14ac:dyDescent="0.35">
      <c r="B42" s="79" cm="1">
        <f t="array" ref="B42">INDEX(keuzePV,(VLOOKUP($C$39,Systeemdetails,2,FALSE)+1),'Drop-down'!$Q$22)</f>
        <v>0</v>
      </c>
      <c r="C42" s="140" t="s">
        <v>41</v>
      </c>
      <c r="D42" s="91"/>
      <c r="J42" s="64"/>
      <c r="K42" s="64"/>
      <c r="L42" s="64"/>
      <c r="M42" s="64"/>
      <c r="N42" s="64"/>
      <c r="O42" s="64"/>
      <c r="P42" s="64"/>
      <c r="Q42" s="64"/>
      <c r="R42" s="64"/>
      <c r="S42" s="64"/>
      <c r="T42" s="64"/>
      <c r="U42" s="64"/>
      <c r="V42" s="64"/>
      <c r="W42" s="64"/>
      <c r="X42" s="64"/>
      <c r="Y42" s="64"/>
      <c r="Z42" s="64"/>
    </row>
    <row r="43" spans="2:26" ht="30" customHeight="1" x14ac:dyDescent="0.35">
      <c r="B43" s="86">
        <f>IF(B42="Selecteer_zonnepaneeltype","Forfaitair waarde zonnepaneel",0)</f>
        <v>0</v>
      </c>
      <c r="C43" s="147">
        <f>IF(NOT(B43=0),'Drop-down'!AL2,0)</f>
        <v>0</v>
      </c>
      <c r="D43" s="91"/>
      <c r="J43" s="64"/>
      <c r="K43" s="64"/>
      <c r="L43" s="64"/>
      <c r="M43" s="64"/>
      <c r="N43" s="64"/>
      <c r="O43" s="64"/>
      <c r="P43" s="64"/>
      <c r="Q43" s="64"/>
      <c r="R43" s="64"/>
      <c r="S43" s="64"/>
      <c r="T43" s="64"/>
      <c r="U43" s="64"/>
      <c r="V43" s="64"/>
      <c r="W43" s="64"/>
      <c r="X43" s="64"/>
      <c r="Y43" s="64"/>
      <c r="Z43" s="64"/>
    </row>
    <row r="44" spans="2:26" ht="15" x14ac:dyDescent="0.35">
      <c r="B44" s="86" t="s">
        <v>355</v>
      </c>
      <c r="C44" s="166" t="str">
        <f ca="1">'Drop-down'!AU2</f>
        <v>nog te berekenen</v>
      </c>
      <c r="D44" s="91" t="s">
        <v>327</v>
      </c>
      <c r="J44" s="64"/>
      <c r="K44" s="64"/>
      <c r="L44" s="64"/>
      <c r="M44" s="64"/>
      <c r="N44" s="64"/>
      <c r="O44" s="64"/>
      <c r="P44" s="64"/>
      <c r="Q44" s="64"/>
      <c r="R44" s="64"/>
      <c r="S44" s="64"/>
      <c r="T44" s="64"/>
      <c r="U44" s="64"/>
      <c r="V44" s="64"/>
      <c r="W44" s="64"/>
      <c r="X44" s="64"/>
      <c r="Y44" s="64"/>
      <c r="Z44" s="64"/>
    </row>
    <row r="45" spans="2:26" ht="15" x14ac:dyDescent="0.35">
      <c r="B45" s="93"/>
      <c r="C45" s="94"/>
      <c r="D45" s="91"/>
      <c r="J45" s="64"/>
      <c r="K45" s="64"/>
      <c r="L45" s="64"/>
      <c r="M45" s="64"/>
      <c r="N45" s="64"/>
      <c r="O45" s="64"/>
      <c r="P45" s="64"/>
      <c r="Q45" s="64"/>
      <c r="R45" s="64"/>
      <c r="S45" s="64"/>
      <c r="T45" s="64"/>
      <c r="U45" s="64"/>
      <c r="V45" s="64"/>
      <c r="W45" s="64"/>
      <c r="X45" s="64"/>
      <c r="Y45" s="64"/>
      <c r="Z45" s="64"/>
    </row>
    <row r="46" spans="2:26" ht="15" x14ac:dyDescent="0.35">
      <c r="B46" s="81" t="s">
        <v>295</v>
      </c>
      <c r="C46" s="137" t="s">
        <v>154</v>
      </c>
      <c r="D46" s="91"/>
      <c r="J46" s="64"/>
      <c r="K46" s="64"/>
      <c r="L46" s="64"/>
      <c r="M46" s="64"/>
      <c r="N46" s="64"/>
      <c r="O46" s="64"/>
      <c r="P46" s="64"/>
      <c r="Q46" s="64"/>
      <c r="R46" s="64"/>
      <c r="S46" s="64"/>
      <c r="T46" s="64"/>
      <c r="U46" s="64"/>
      <c r="V46" s="64"/>
      <c r="W46" s="64"/>
      <c r="X46" s="64"/>
      <c r="Y46" s="64"/>
      <c r="Z46" s="64"/>
    </row>
    <row r="47" spans="2:26" ht="15" x14ac:dyDescent="0.35">
      <c r="B47" s="79" t="s">
        <v>510</v>
      </c>
      <c r="C47" s="138">
        <v>0</v>
      </c>
      <c r="D47" s="91" t="s">
        <v>321</v>
      </c>
      <c r="J47" s="64"/>
      <c r="K47" s="64"/>
      <c r="L47" s="64"/>
      <c r="M47" s="64"/>
      <c r="N47" s="64"/>
      <c r="O47" s="64"/>
      <c r="P47" s="64"/>
      <c r="Q47" s="64"/>
      <c r="R47" s="64"/>
      <c r="S47" s="64"/>
      <c r="T47" s="64"/>
      <c r="U47" s="64"/>
      <c r="V47" s="64"/>
      <c r="W47" s="64"/>
      <c r="X47" s="64"/>
      <c r="Y47" s="64"/>
      <c r="Z47" s="64"/>
    </row>
    <row r="48" spans="2:26" ht="15" x14ac:dyDescent="0.35">
      <c r="B48" s="79" t="s">
        <v>323</v>
      </c>
      <c r="C48" s="138" t="s">
        <v>146</v>
      </c>
      <c r="D48" s="91"/>
      <c r="J48" s="64"/>
      <c r="K48" s="64"/>
      <c r="L48" s="64"/>
      <c r="M48" s="64"/>
      <c r="N48" s="64"/>
      <c r="O48" s="64"/>
      <c r="P48" s="64"/>
      <c r="Q48" s="64"/>
      <c r="R48" s="64"/>
      <c r="S48" s="64"/>
      <c r="T48" s="64"/>
      <c r="U48" s="64"/>
      <c r="V48" s="64"/>
      <c r="W48" s="64"/>
      <c r="X48" s="64"/>
      <c r="Y48" s="64"/>
      <c r="Z48" s="64"/>
    </row>
    <row r="49" spans="2:26" ht="15" x14ac:dyDescent="0.35">
      <c r="B49" s="79" t="s">
        <v>296</v>
      </c>
      <c r="C49" s="138" t="s">
        <v>302</v>
      </c>
      <c r="D49" s="91"/>
      <c r="J49" s="64"/>
      <c r="K49" s="64"/>
      <c r="L49" s="64"/>
      <c r="M49" s="64"/>
      <c r="N49" s="64"/>
      <c r="O49" s="64"/>
      <c r="P49" s="64"/>
      <c r="Q49" s="64"/>
      <c r="R49" s="64"/>
      <c r="S49" s="64"/>
      <c r="T49" s="64"/>
      <c r="U49" s="64"/>
      <c r="V49" s="64"/>
      <c r="W49" s="64"/>
      <c r="X49" s="64"/>
      <c r="Y49" s="64"/>
      <c r="Z49" s="64"/>
    </row>
    <row r="50" spans="2:26" ht="15" x14ac:dyDescent="0.35">
      <c r="B50" s="80" t="str">
        <f>IF(LEFT(C49,3)="zij","Wat is de relatieve breedte van de belemmering?","")</f>
        <v/>
      </c>
      <c r="C50" s="137"/>
      <c r="D50" s="91"/>
      <c r="J50" s="64"/>
      <c r="K50" s="64"/>
      <c r="L50" s="64"/>
      <c r="M50" s="64"/>
      <c r="N50" s="64"/>
      <c r="O50" s="64"/>
      <c r="P50" s="64"/>
      <c r="Q50" s="64"/>
      <c r="R50" s="64"/>
      <c r="S50" s="64"/>
      <c r="T50" s="64"/>
      <c r="U50" s="64"/>
      <c r="V50" s="64"/>
      <c r="W50" s="64"/>
      <c r="X50" s="64"/>
      <c r="Y50" s="64"/>
      <c r="Z50" s="64"/>
    </row>
    <row r="51" spans="2:26" ht="15" x14ac:dyDescent="0.35">
      <c r="B51" s="87" t="s">
        <v>329</v>
      </c>
      <c r="C51" s="141" t="s">
        <v>334</v>
      </c>
      <c r="D51" s="91"/>
      <c r="J51" s="64"/>
      <c r="K51" s="64"/>
      <c r="L51" s="64"/>
      <c r="M51" s="64"/>
      <c r="N51" s="64"/>
      <c r="O51" s="64"/>
      <c r="P51" s="64"/>
      <c r="Q51" s="64"/>
      <c r="R51" s="64"/>
      <c r="S51" s="64"/>
      <c r="T51" s="64"/>
      <c r="U51" s="64"/>
      <c r="V51" s="64"/>
      <c r="W51" s="64"/>
      <c r="X51" s="64"/>
      <c r="Y51" s="64"/>
      <c r="Z51" s="64"/>
    </row>
    <row r="52" spans="2:26" x14ac:dyDescent="0.3">
      <c r="J52" s="64"/>
      <c r="K52" s="64"/>
      <c r="L52" s="64"/>
      <c r="M52" s="64"/>
      <c r="N52" s="64"/>
      <c r="O52" s="64"/>
      <c r="P52" s="64"/>
      <c r="Q52" s="64"/>
      <c r="R52" s="64"/>
      <c r="S52" s="64"/>
      <c r="T52" s="64"/>
      <c r="U52" s="64"/>
      <c r="V52" s="64"/>
      <c r="W52" s="64"/>
      <c r="X52" s="64"/>
      <c r="Y52" s="64"/>
      <c r="Z52" s="64"/>
    </row>
    <row r="53" spans="2:26" ht="15" x14ac:dyDescent="0.35">
      <c r="B53" s="77" t="s">
        <v>322</v>
      </c>
      <c r="C53" s="77" t="str">
        <f>IF(C51="ja","Systeem 2","Geen tweede systeem")</f>
        <v>Geen tweede systeem</v>
      </c>
      <c r="D53" s="67"/>
      <c r="J53" s="64"/>
      <c r="K53" s="64"/>
      <c r="L53" s="64"/>
      <c r="M53" s="64"/>
      <c r="N53" s="64"/>
      <c r="O53" s="64"/>
      <c r="P53" s="64"/>
      <c r="Q53" s="64"/>
      <c r="R53" s="64"/>
      <c r="S53" s="64"/>
      <c r="T53" s="64"/>
      <c r="U53" s="64"/>
      <c r="V53" s="64"/>
      <c r="W53" s="64"/>
      <c r="X53" s="64"/>
      <c r="Y53" s="64"/>
      <c r="Z53" s="64"/>
    </row>
    <row r="54" spans="2:26" ht="15" x14ac:dyDescent="0.35">
      <c r="B54" s="81" t="str">
        <f>IF(C51="ja","Naam of omschrijving systeem","")</f>
        <v/>
      </c>
      <c r="C54" s="137" t="s">
        <v>531</v>
      </c>
      <c r="D54" s="89"/>
      <c r="J54" s="64"/>
      <c r="K54" s="64"/>
      <c r="L54" s="64"/>
      <c r="M54" s="64"/>
      <c r="N54" s="64"/>
      <c r="O54" s="64"/>
      <c r="P54" s="64"/>
      <c r="Q54" s="64"/>
      <c r="R54" s="64"/>
      <c r="S54" s="64"/>
      <c r="T54" s="64"/>
      <c r="U54" s="64"/>
      <c r="V54" s="64"/>
      <c r="W54" s="64"/>
      <c r="X54" s="64"/>
      <c r="Y54" s="64"/>
      <c r="Z54" s="64"/>
    </row>
    <row r="55" spans="2:26" ht="15" x14ac:dyDescent="0.35">
      <c r="B55" s="79" t="str">
        <f>IF(C51="ja","Is het een nieuw systeem of bestaand?","")</f>
        <v/>
      </c>
      <c r="C55" s="138" t="s">
        <v>299</v>
      </c>
      <c r="D55" s="89"/>
      <c r="J55" s="64"/>
      <c r="K55" s="64"/>
      <c r="L55" s="64"/>
      <c r="M55" s="64"/>
      <c r="N55" s="64"/>
      <c r="O55" s="64"/>
      <c r="P55" s="64"/>
      <c r="Q55" s="64"/>
      <c r="R55" s="64"/>
      <c r="S55" s="64"/>
      <c r="T55" s="64"/>
      <c r="U55" s="64"/>
      <c r="V55" s="64"/>
      <c r="W55" s="64"/>
      <c r="X55" s="64"/>
      <c r="Y55" s="64"/>
      <c r="Z55" s="64"/>
    </row>
    <row r="56" spans="2:26" ht="15" x14ac:dyDescent="0.35">
      <c r="B56" s="79" t="str">
        <f>IF(C51="ja",IF(C55="nieuw systeem","","Wat is het installatiejaar van de PV-panelen?"),"")</f>
        <v/>
      </c>
      <c r="C56" s="140"/>
      <c r="D56" s="90" t="str">
        <f>IF(C55="bestaand systeem","bv. 1995","")</f>
        <v/>
      </c>
      <c r="J56" s="64"/>
      <c r="K56" s="64"/>
      <c r="L56" s="64"/>
      <c r="M56" s="64"/>
      <c r="N56" s="64"/>
      <c r="O56" s="64"/>
      <c r="P56" s="64"/>
      <c r="Q56" s="64"/>
      <c r="R56" s="64"/>
      <c r="S56" s="64"/>
      <c r="T56" s="64"/>
      <c r="U56" s="64"/>
      <c r="V56" s="64"/>
      <c r="W56" s="64"/>
      <c r="X56" s="64"/>
      <c r="Y56" s="64"/>
      <c r="Z56" s="64"/>
    </row>
    <row r="57" spans="2:26" ht="15" x14ac:dyDescent="0.35">
      <c r="B57" s="85"/>
      <c r="C57" s="83"/>
      <c r="D57" s="95"/>
      <c r="J57" s="64"/>
      <c r="K57" s="64"/>
      <c r="L57" s="64"/>
      <c r="M57" s="64"/>
      <c r="N57" s="64"/>
      <c r="O57" s="64"/>
      <c r="P57" s="64"/>
      <c r="Q57" s="64"/>
      <c r="R57" s="64"/>
      <c r="S57" s="64"/>
      <c r="T57" s="64"/>
      <c r="U57" s="64"/>
      <c r="V57" s="64"/>
      <c r="W57" s="64"/>
      <c r="X57" s="64"/>
      <c r="Y57" s="64"/>
      <c r="Z57" s="64"/>
    </row>
    <row r="58" spans="2:26" ht="15" x14ac:dyDescent="0.35">
      <c r="B58" s="81" t="s">
        <v>426</v>
      </c>
      <c r="C58" s="139" t="s">
        <v>508</v>
      </c>
      <c r="D58" s="89"/>
      <c r="J58" s="64"/>
      <c r="K58" s="64"/>
      <c r="L58" s="64"/>
      <c r="M58" s="64"/>
      <c r="N58" s="64"/>
      <c r="O58" s="64"/>
      <c r="P58" s="64"/>
      <c r="Q58" s="64"/>
      <c r="R58" s="64"/>
      <c r="S58" s="64"/>
      <c r="T58" s="64"/>
      <c r="U58" s="64"/>
      <c r="V58" s="64"/>
      <c r="W58" s="64"/>
      <c r="X58" s="64"/>
      <c r="Y58" s="64"/>
      <c r="Z58" s="64"/>
    </row>
    <row r="59" spans="2:26" ht="15" x14ac:dyDescent="0.35">
      <c r="B59" s="79" t="str">
        <f>IF(C51="nee","","Welke gegevens van het PV Systeem zijn bekend?")</f>
        <v/>
      </c>
      <c r="C59" s="140" t="s">
        <v>290</v>
      </c>
      <c r="D59" s="89"/>
      <c r="J59" s="64"/>
      <c r="K59" s="64"/>
      <c r="L59" s="64"/>
      <c r="M59" s="64"/>
      <c r="N59" s="64"/>
      <c r="O59" s="64"/>
      <c r="P59" s="64"/>
      <c r="Q59" s="64"/>
      <c r="R59" s="64"/>
      <c r="S59" s="64"/>
      <c r="T59" s="64"/>
      <c r="U59" s="64"/>
      <c r="V59" s="64"/>
      <c r="W59" s="64"/>
      <c r="X59" s="64"/>
      <c r="Y59" s="64"/>
      <c r="Z59" s="64"/>
    </row>
    <row r="60" spans="2:26" ht="15" x14ac:dyDescent="0.35">
      <c r="B60" s="79" cm="1">
        <f t="array" ref="B60">INDEX(keuzePV,(VLOOKUP(C59,Systeemdetails,2,FALSE)+1),'Drop-down'!$M$22)</f>
        <v>0</v>
      </c>
      <c r="C60" s="164"/>
      <c r="D60" s="91" cm="1">
        <f t="array" ref="D60">INDEX(keuzePV,(VLOOKUP(C59,Systeemdetails,2,FALSE)+1),'Drop-down'!$N$22)</f>
        <v>0</v>
      </c>
      <c r="J60" s="64"/>
      <c r="K60" s="64"/>
      <c r="L60" s="64"/>
      <c r="M60" s="64"/>
      <c r="N60" s="64"/>
      <c r="O60" s="64"/>
      <c r="P60" s="64"/>
      <c r="Q60" s="64"/>
      <c r="R60" s="64"/>
      <c r="S60" s="64"/>
      <c r="T60" s="64"/>
      <c r="U60" s="64"/>
      <c r="V60" s="64"/>
      <c r="W60" s="64"/>
      <c r="X60" s="64"/>
      <c r="Y60" s="64"/>
      <c r="Z60" s="64"/>
    </row>
    <row r="61" spans="2:26" ht="15" x14ac:dyDescent="0.35">
      <c r="B61" s="79" cm="1">
        <f t="array" ref="B61">INDEX(keuzePV,(VLOOKUP($C$39,Systeemdetails,2,FALSE)+1),'Drop-down'!$O$22)</f>
        <v>0</v>
      </c>
      <c r="C61" s="163"/>
      <c r="D61" s="91" cm="1">
        <f t="array" ref="D61">INDEX(keuzePV,(VLOOKUP(C59,Systeemdetails,2,FALSE)+1),'Drop-down'!$P$22)</f>
        <v>0</v>
      </c>
      <c r="J61" s="64"/>
      <c r="K61" s="64"/>
      <c r="L61" s="64"/>
      <c r="M61" s="64"/>
      <c r="N61" s="64"/>
      <c r="O61" s="64"/>
      <c r="P61" s="64"/>
      <c r="Q61" s="64"/>
      <c r="R61" s="64"/>
      <c r="S61" s="64"/>
      <c r="T61" s="64"/>
      <c r="U61" s="64"/>
      <c r="V61" s="64"/>
      <c r="W61" s="64"/>
      <c r="X61" s="64"/>
      <c r="Y61" s="64"/>
      <c r="Z61" s="64"/>
    </row>
    <row r="62" spans="2:26" ht="15" x14ac:dyDescent="0.35">
      <c r="B62" s="79" cm="1">
        <f t="array" ref="B62">INDEX(keuzePV,(VLOOKUP($C$59,Systeemdetails,2,FALSE)+1),'Drop-down'!$Q$22)</f>
        <v>0</v>
      </c>
      <c r="C62" s="140" t="s">
        <v>41</v>
      </c>
      <c r="D62" s="91"/>
      <c r="J62" s="64"/>
      <c r="K62" s="64"/>
      <c r="L62" s="64"/>
      <c r="M62" s="64"/>
      <c r="N62" s="64"/>
      <c r="O62" s="64"/>
      <c r="P62" s="64"/>
      <c r="Q62" s="64"/>
      <c r="R62" s="64"/>
      <c r="S62" s="64"/>
      <c r="T62" s="64"/>
      <c r="U62" s="64"/>
      <c r="V62" s="64"/>
      <c r="W62" s="64"/>
      <c r="X62" s="64"/>
      <c r="Y62" s="64"/>
      <c r="Z62" s="64"/>
    </row>
    <row r="63" spans="2:26" ht="30" customHeight="1" x14ac:dyDescent="0.35">
      <c r="B63" s="86">
        <f>IF(B62="Selecteer_zonnepaneeltype","Forfaitair waarde zonnepaneel",0)</f>
        <v>0</v>
      </c>
      <c r="C63" s="147">
        <f>IF(NOT(B63=0),'Drop-down'!AL3,0)</f>
        <v>0</v>
      </c>
      <c r="D63" s="91"/>
      <c r="J63" s="64"/>
      <c r="K63" s="64"/>
      <c r="L63" s="64"/>
      <c r="M63" s="64"/>
      <c r="N63" s="64"/>
      <c r="O63" s="64"/>
      <c r="P63" s="64"/>
      <c r="Q63" s="64"/>
      <c r="R63" s="64"/>
      <c r="S63" s="64"/>
      <c r="T63" s="64"/>
      <c r="U63" s="64"/>
      <c r="V63" s="64"/>
      <c r="W63" s="64"/>
      <c r="X63" s="64"/>
      <c r="Y63" s="64"/>
      <c r="Z63" s="64"/>
    </row>
    <row r="64" spans="2:26" ht="15" x14ac:dyDescent="0.35">
      <c r="B64" s="86" t="s">
        <v>438</v>
      </c>
      <c r="C64" s="166" t="str">
        <f>'Drop-down'!AU3</f>
        <v>nvt</v>
      </c>
      <c r="D64" s="91" t="s">
        <v>327</v>
      </c>
      <c r="J64" s="64"/>
      <c r="K64" s="64"/>
      <c r="L64" s="64"/>
      <c r="M64" s="64"/>
      <c r="N64" s="64"/>
      <c r="O64" s="64"/>
      <c r="P64" s="64"/>
      <c r="Q64" s="64"/>
      <c r="R64" s="64"/>
      <c r="S64" s="64"/>
      <c r="T64" s="64"/>
      <c r="U64" s="64"/>
      <c r="V64" s="64"/>
      <c r="W64" s="64"/>
      <c r="X64" s="64"/>
      <c r="Y64" s="64"/>
      <c r="Z64" s="64"/>
    </row>
    <row r="65" spans="2:26" ht="15" x14ac:dyDescent="0.35">
      <c r="B65" s="93"/>
      <c r="C65" s="94"/>
      <c r="D65" s="91"/>
      <c r="J65" s="64"/>
      <c r="K65" s="64"/>
      <c r="L65" s="64"/>
      <c r="M65" s="64"/>
      <c r="N65" s="64"/>
      <c r="O65" s="64"/>
      <c r="P65" s="64"/>
      <c r="Q65" s="64"/>
      <c r="R65" s="64"/>
      <c r="S65" s="64"/>
      <c r="T65" s="64"/>
      <c r="U65" s="64"/>
      <c r="V65" s="64"/>
      <c r="W65" s="64"/>
      <c r="X65" s="64"/>
      <c r="Y65" s="64"/>
      <c r="Z65" s="64"/>
    </row>
    <row r="66" spans="2:26" ht="15" x14ac:dyDescent="0.35">
      <c r="B66" s="81" t="str">
        <f>IF(C51="nee","","Welke orientatie hebben de panelen?")</f>
        <v/>
      </c>
      <c r="C66" s="137" t="s">
        <v>154</v>
      </c>
      <c r="D66" s="91"/>
      <c r="J66" s="64"/>
      <c r="K66" s="64"/>
      <c r="L66" s="64"/>
      <c r="M66" s="64"/>
      <c r="N66" s="64"/>
      <c r="O66" s="64"/>
      <c r="P66" s="64"/>
      <c r="Q66" s="64"/>
      <c r="R66" s="64"/>
      <c r="S66" s="64"/>
      <c r="T66" s="64"/>
      <c r="U66" s="64"/>
      <c r="V66" s="64"/>
      <c r="W66" s="64"/>
      <c r="X66" s="64"/>
      <c r="Y66" s="64"/>
      <c r="Z66" s="64"/>
    </row>
    <row r="67" spans="2:26" ht="15" x14ac:dyDescent="0.35">
      <c r="B67" s="79" t="s">
        <v>510</v>
      </c>
      <c r="C67" s="138">
        <v>0</v>
      </c>
      <c r="D67" s="91" t="s">
        <v>321</v>
      </c>
      <c r="J67" s="64"/>
      <c r="K67" s="64"/>
      <c r="L67" s="64"/>
      <c r="M67" s="64"/>
      <c r="N67" s="64"/>
      <c r="O67" s="64"/>
      <c r="P67" s="64"/>
      <c r="Q67" s="64"/>
      <c r="R67" s="64"/>
      <c r="S67" s="64"/>
      <c r="T67" s="64"/>
      <c r="U67" s="64"/>
      <c r="V67" s="64"/>
      <c r="W67" s="64"/>
      <c r="X67" s="64"/>
      <c r="Y67" s="64"/>
      <c r="Z67" s="64"/>
    </row>
    <row r="68" spans="2:26" ht="15" x14ac:dyDescent="0.35">
      <c r="B68" s="79" t="str">
        <f>IF(C51="nee","","Is er sprake van ventilatie achter de panelen?")</f>
        <v/>
      </c>
      <c r="C68" s="138" t="s">
        <v>146</v>
      </c>
      <c r="D68" s="91"/>
      <c r="J68" s="64"/>
      <c r="K68" s="64"/>
      <c r="L68" s="64"/>
      <c r="M68" s="64"/>
      <c r="N68" s="64"/>
      <c r="O68" s="64"/>
      <c r="P68" s="64"/>
      <c r="Q68" s="64"/>
      <c r="R68" s="64"/>
      <c r="S68" s="64"/>
      <c r="T68" s="64"/>
      <c r="U68" s="64"/>
      <c r="V68" s="64"/>
      <c r="W68" s="64"/>
      <c r="X68" s="64"/>
      <c r="Y68" s="64"/>
      <c r="Z68" s="64"/>
    </row>
    <row r="69" spans="2:26" ht="15" x14ac:dyDescent="0.35">
      <c r="B69" s="79" t="str">
        <f>IF(C51="nee","","Is er sprake van beschaduwing van de panelen?")</f>
        <v/>
      </c>
      <c r="C69" s="138" t="s">
        <v>302</v>
      </c>
      <c r="D69" s="91"/>
      <c r="J69" s="64"/>
      <c r="K69" s="64"/>
      <c r="L69" s="64"/>
      <c r="M69" s="64"/>
      <c r="N69" s="64"/>
      <c r="O69" s="64"/>
      <c r="P69" s="64"/>
      <c r="Q69" s="64"/>
      <c r="R69" s="64"/>
      <c r="S69" s="64"/>
      <c r="T69" s="64"/>
      <c r="U69" s="64"/>
      <c r="V69" s="64"/>
      <c r="W69" s="64"/>
      <c r="X69" s="64"/>
      <c r="Y69" s="64"/>
      <c r="Z69" s="64"/>
    </row>
    <row r="70" spans="2:26" ht="15" x14ac:dyDescent="0.35">
      <c r="B70" s="80" t="str">
        <f>IF(LEFT(C69,3)="zij","Wat is de relatieve breedte van de belemmering?","")</f>
        <v/>
      </c>
      <c r="C70" s="137"/>
      <c r="D70" s="91"/>
      <c r="J70" s="64"/>
      <c r="K70" s="64"/>
      <c r="L70" s="64"/>
      <c r="M70" s="64"/>
      <c r="N70" s="64"/>
      <c r="O70" s="64"/>
      <c r="P70" s="64"/>
      <c r="Q70" s="64"/>
      <c r="R70" s="64"/>
      <c r="S70" s="64"/>
      <c r="T70" s="64"/>
      <c r="U70" s="64"/>
      <c r="V70" s="64"/>
      <c r="W70" s="64"/>
      <c r="X70" s="64"/>
      <c r="Y70" s="64"/>
      <c r="Z70" s="64"/>
    </row>
    <row r="71" spans="2:26" ht="15" x14ac:dyDescent="0.35">
      <c r="B71" s="87" t="str">
        <f>IF(C51="nee","","Is er nog een PV-systeem aanwezig?")</f>
        <v/>
      </c>
      <c r="C71" s="141" t="s">
        <v>334</v>
      </c>
      <c r="D71" s="91"/>
      <c r="J71" s="64"/>
      <c r="K71" s="64"/>
      <c r="L71" s="64"/>
      <c r="M71" s="64"/>
      <c r="N71" s="64"/>
      <c r="O71" s="64"/>
      <c r="P71" s="64"/>
      <c r="Q71" s="64"/>
      <c r="R71" s="64"/>
      <c r="S71" s="64"/>
      <c r="T71" s="64"/>
      <c r="U71" s="64"/>
      <c r="V71" s="64"/>
      <c r="W71" s="64"/>
      <c r="X71" s="64"/>
      <c r="Y71" s="64"/>
      <c r="Z71" s="64"/>
    </row>
    <row r="72" spans="2:26" x14ac:dyDescent="0.3">
      <c r="J72" s="64"/>
      <c r="K72" s="64"/>
      <c r="L72" s="64"/>
      <c r="M72" s="64"/>
      <c r="N72" s="64"/>
      <c r="O72" s="64"/>
      <c r="P72" s="64"/>
      <c r="Q72" s="64"/>
      <c r="R72" s="64"/>
      <c r="S72" s="64"/>
      <c r="T72" s="64"/>
      <c r="U72" s="64"/>
      <c r="V72" s="64"/>
      <c r="W72" s="64"/>
      <c r="X72" s="64"/>
      <c r="Y72" s="64"/>
      <c r="Z72" s="64"/>
    </row>
    <row r="73" spans="2:26" ht="15" x14ac:dyDescent="0.35">
      <c r="B73" s="77" t="s">
        <v>322</v>
      </c>
      <c r="C73" s="77" t="str">
        <f>IF(C71="ja","Systeem 3","Geen derde systeem")</f>
        <v>Geen derde systeem</v>
      </c>
      <c r="D73" s="67"/>
      <c r="J73" s="64"/>
      <c r="K73" s="64"/>
      <c r="L73" s="64"/>
      <c r="M73" s="64"/>
      <c r="N73" s="64"/>
      <c r="O73" s="64"/>
      <c r="P73" s="64"/>
      <c r="Q73" s="64"/>
      <c r="R73" s="64"/>
      <c r="S73" s="64"/>
      <c r="T73" s="64"/>
      <c r="U73" s="64"/>
      <c r="V73" s="64"/>
      <c r="W73" s="64"/>
      <c r="X73" s="64"/>
      <c r="Y73" s="64"/>
      <c r="Z73" s="64"/>
    </row>
    <row r="74" spans="2:26" ht="15" x14ac:dyDescent="0.35">
      <c r="B74" s="81" t="str">
        <f>IF(C71="ja","Naam of omschrijving systeem","")</f>
        <v/>
      </c>
      <c r="C74" s="137" t="s">
        <v>530</v>
      </c>
      <c r="D74" s="89"/>
      <c r="J74" s="64"/>
      <c r="K74" s="64"/>
      <c r="L74" s="64"/>
      <c r="M74" s="64"/>
      <c r="N74" s="64"/>
      <c r="O74" s="64"/>
      <c r="P74" s="64"/>
      <c r="Q74" s="64"/>
      <c r="R74" s="64"/>
      <c r="S74" s="64"/>
      <c r="T74" s="64"/>
      <c r="U74" s="64"/>
      <c r="V74" s="64"/>
      <c r="W74" s="64"/>
      <c r="X74" s="64"/>
      <c r="Y74" s="64"/>
      <c r="Z74" s="64"/>
    </row>
    <row r="75" spans="2:26" ht="15" x14ac:dyDescent="0.35">
      <c r="B75" s="79" t="str">
        <f>IF(C71="ja","Is het een nieuw systeem of bestaand?","")</f>
        <v/>
      </c>
      <c r="C75" s="138" t="s">
        <v>299</v>
      </c>
      <c r="D75" s="89"/>
      <c r="J75" s="64"/>
      <c r="K75" s="64"/>
      <c r="L75" s="64"/>
      <c r="M75" s="64"/>
      <c r="N75" s="64"/>
      <c r="O75" s="64"/>
      <c r="P75" s="64"/>
      <c r="Q75" s="64"/>
      <c r="R75" s="64"/>
      <c r="S75" s="64"/>
      <c r="T75" s="64"/>
      <c r="U75" s="64"/>
      <c r="V75" s="64"/>
      <c r="W75" s="64"/>
      <c r="X75" s="64"/>
      <c r="Y75" s="64"/>
      <c r="Z75" s="64"/>
    </row>
    <row r="76" spans="2:26" ht="15" x14ac:dyDescent="0.35">
      <c r="B76" s="79" t="str">
        <f>IF(C71="ja",IF(C75="nieuw systeem","","Wat is het installatiejaar van de PV-panelen?"),"")</f>
        <v/>
      </c>
      <c r="C76" s="140"/>
      <c r="D76" s="90" t="str">
        <f>IF(C75="bestaand systeem","bv. 1995","")</f>
        <v/>
      </c>
      <c r="J76" s="64"/>
      <c r="K76" s="64"/>
      <c r="L76" s="64"/>
      <c r="M76" s="64"/>
      <c r="N76" s="64"/>
      <c r="O76" s="64"/>
      <c r="P76" s="64"/>
      <c r="Q76" s="64"/>
      <c r="R76" s="64"/>
      <c r="S76" s="64"/>
      <c r="T76" s="64"/>
      <c r="U76" s="64"/>
      <c r="V76" s="64"/>
      <c r="W76" s="64"/>
      <c r="X76" s="64"/>
      <c r="Y76" s="64"/>
      <c r="Z76" s="64"/>
    </row>
    <row r="77" spans="2:26" ht="15" x14ac:dyDescent="0.35">
      <c r="B77" s="85"/>
      <c r="C77" s="83"/>
      <c r="D77" s="95"/>
      <c r="J77" s="64"/>
      <c r="K77" s="64"/>
      <c r="L77" s="64"/>
      <c r="M77" s="64"/>
      <c r="N77" s="64"/>
      <c r="O77" s="64"/>
      <c r="P77" s="64"/>
      <c r="Q77" s="64"/>
      <c r="R77" s="64"/>
      <c r="S77" s="64"/>
      <c r="T77" s="64"/>
      <c r="U77" s="64"/>
      <c r="V77" s="64"/>
      <c r="W77" s="64"/>
      <c r="X77" s="64"/>
      <c r="Y77" s="64"/>
      <c r="Z77" s="64"/>
    </row>
    <row r="78" spans="2:26" ht="15" x14ac:dyDescent="0.35">
      <c r="B78" s="81" t="s">
        <v>426</v>
      </c>
      <c r="C78" s="139" t="s">
        <v>508</v>
      </c>
      <c r="D78" s="89"/>
      <c r="J78" s="64"/>
      <c r="K78" s="64"/>
      <c r="L78" s="64"/>
      <c r="M78" s="64"/>
      <c r="N78" s="64"/>
      <c r="O78" s="64"/>
      <c r="P78" s="64"/>
      <c r="Q78" s="64"/>
      <c r="R78" s="64"/>
      <c r="S78" s="64"/>
      <c r="T78" s="64"/>
      <c r="U78" s="64"/>
      <c r="V78" s="64"/>
      <c r="W78" s="64"/>
      <c r="X78" s="64"/>
      <c r="Y78" s="64"/>
      <c r="Z78" s="64"/>
    </row>
    <row r="79" spans="2:26" ht="15" x14ac:dyDescent="0.35">
      <c r="B79" s="79" t="str">
        <f>IF(C71="nee","","Welke gegevens van het PV Systeem zijn bekend?")</f>
        <v/>
      </c>
      <c r="C79" s="140" t="s">
        <v>290</v>
      </c>
      <c r="D79" s="89"/>
      <c r="J79" s="64"/>
      <c r="K79" s="64"/>
      <c r="L79" s="64"/>
      <c r="M79" s="64"/>
      <c r="N79" s="64"/>
      <c r="O79" s="64"/>
      <c r="P79" s="64"/>
      <c r="Q79" s="64"/>
      <c r="R79" s="64"/>
      <c r="S79" s="64"/>
      <c r="T79" s="64"/>
      <c r="U79" s="64"/>
      <c r="V79" s="64"/>
      <c r="W79" s="64"/>
      <c r="X79" s="64"/>
      <c r="Y79" s="64"/>
      <c r="Z79" s="64"/>
    </row>
    <row r="80" spans="2:26" ht="15" x14ac:dyDescent="0.35">
      <c r="B80" s="79" t="str" cm="1">
        <f t="array" ref="B80">IF(C71="nee","",INDEX(keuzePV,(VLOOKUP(C79,Systeemdetails,2,FALSE)+1),'Drop-down'!$M$22))</f>
        <v/>
      </c>
      <c r="C80" s="164"/>
      <c r="D80" s="91" cm="1">
        <f t="array" ref="D80">INDEX(keuzePV,(VLOOKUP(C79,Systeemdetails,2,FALSE)+1),'Drop-down'!$N$22)</f>
        <v>0</v>
      </c>
      <c r="J80" s="64"/>
      <c r="K80" s="64"/>
      <c r="L80" s="64"/>
      <c r="M80" s="64"/>
      <c r="N80" s="64"/>
      <c r="O80" s="64"/>
      <c r="P80" s="64"/>
      <c r="Q80" s="64"/>
      <c r="R80" s="64"/>
      <c r="S80" s="64"/>
      <c r="T80" s="64"/>
      <c r="U80" s="64"/>
      <c r="V80" s="64"/>
      <c r="W80" s="64"/>
      <c r="X80" s="64"/>
      <c r="Y80" s="64"/>
      <c r="Z80" s="64"/>
    </row>
    <row r="81" spans="2:26" ht="15" x14ac:dyDescent="0.35">
      <c r="B81" s="79" t="str" cm="1">
        <f t="array" ref="B81">IF(C71="nee","",INDEX(keuzePV,(VLOOKUP(C79,Systeemdetails,2,FALSE)+1),'Drop-down'!$O$22))</f>
        <v/>
      </c>
      <c r="C81" s="163"/>
      <c r="D81" s="91" cm="1">
        <f t="array" ref="D81">INDEX(keuzePV,(VLOOKUP(C79,Systeemdetails,2,FALSE)+1),'Drop-down'!$P$22)</f>
        <v>0</v>
      </c>
      <c r="J81" s="64"/>
      <c r="K81" s="64"/>
      <c r="L81" s="64"/>
      <c r="M81" s="64"/>
      <c r="N81" s="64"/>
      <c r="O81" s="64"/>
      <c r="P81" s="64"/>
      <c r="Q81" s="64"/>
      <c r="R81" s="64"/>
      <c r="S81" s="64"/>
      <c r="T81" s="64"/>
      <c r="U81" s="64"/>
      <c r="V81" s="64"/>
      <c r="W81" s="64"/>
      <c r="X81" s="64"/>
      <c r="Y81" s="64"/>
      <c r="Z81" s="64"/>
    </row>
    <row r="82" spans="2:26" ht="15" x14ac:dyDescent="0.35">
      <c r="B82" s="79" t="str" cm="1">
        <f t="array" ref="B82">IF(C71="nee","",INDEX(keuzePV,(VLOOKUP(C79,Systeemdetails,2,FALSE)+1),'Drop-down'!$Q$22))</f>
        <v/>
      </c>
      <c r="C82" s="140" t="s">
        <v>41</v>
      </c>
      <c r="D82" s="91"/>
      <c r="J82" s="64"/>
      <c r="K82" s="64"/>
      <c r="L82" s="64"/>
      <c r="M82" s="64"/>
      <c r="N82" s="64"/>
      <c r="O82" s="64"/>
      <c r="P82" s="64"/>
      <c r="Q82" s="64"/>
      <c r="R82" s="64"/>
      <c r="S82" s="64"/>
      <c r="T82" s="64"/>
      <c r="U82" s="64"/>
      <c r="V82" s="64"/>
      <c r="W82" s="64"/>
      <c r="X82" s="64"/>
      <c r="Y82" s="64"/>
      <c r="Z82" s="64"/>
    </row>
    <row r="83" spans="2:26" ht="30" customHeight="1" x14ac:dyDescent="0.35">
      <c r="B83" s="86">
        <f>IF(B82="Selecteer_zonnepaneeltype","Forfaitair waarde zonnepaneel",0)</f>
        <v>0</v>
      </c>
      <c r="C83" s="147">
        <f>IF(NOT(B83=0),'Drop-down'!AL4,0)</f>
        <v>0</v>
      </c>
      <c r="D83" s="91"/>
      <c r="J83" s="64"/>
      <c r="K83" s="64"/>
      <c r="L83" s="64"/>
      <c r="M83" s="64"/>
      <c r="N83" s="64"/>
      <c r="O83" s="64"/>
      <c r="P83" s="64"/>
      <c r="Q83" s="64"/>
      <c r="R83" s="64"/>
      <c r="S83" s="64"/>
      <c r="T83" s="64"/>
      <c r="U83" s="64"/>
      <c r="V83" s="64"/>
      <c r="W83" s="64"/>
      <c r="X83" s="64"/>
      <c r="Y83" s="64"/>
      <c r="Z83" s="64"/>
    </row>
    <row r="84" spans="2:26" ht="15" x14ac:dyDescent="0.35">
      <c r="B84" s="86" t="str">
        <f>IF(C71="nee","","Totaal piekvermogen van systeem 3")</f>
        <v/>
      </c>
      <c r="C84" s="166" t="str">
        <f>'Drop-down'!AU4</f>
        <v>nvt</v>
      </c>
      <c r="D84" s="91" t="s">
        <v>327</v>
      </c>
      <c r="J84" s="64"/>
      <c r="K84" s="64"/>
      <c r="L84" s="64"/>
      <c r="M84" s="64"/>
      <c r="N84" s="64"/>
      <c r="O84" s="64"/>
      <c r="P84" s="64"/>
      <c r="Q84" s="64"/>
      <c r="R84" s="64"/>
      <c r="S84" s="64"/>
      <c r="T84" s="64"/>
      <c r="U84" s="64"/>
      <c r="V84" s="64"/>
      <c r="W84" s="64"/>
      <c r="X84" s="64"/>
      <c r="Y84" s="64"/>
      <c r="Z84" s="64"/>
    </row>
    <row r="85" spans="2:26" ht="15" x14ac:dyDescent="0.35">
      <c r="B85" s="93"/>
      <c r="C85" s="94"/>
      <c r="D85" s="91"/>
      <c r="J85" s="64"/>
      <c r="K85" s="64"/>
      <c r="L85" s="64"/>
      <c r="M85" s="64"/>
      <c r="N85" s="64"/>
      <c r="O85" s="64"/>
      <c r="P85" s="64"/>
      <c r="Q85" s="64"/>
      <c r="R85" s="64"/>
      <c r="S85" s="64"/>
      <c r="T85" s="64"/>
      <c r="U85" s="64"/>
      <c r="V85" s="64"/>
      <c r="W85" s="64"/>
      <c r="X85" s="64"/>
      <c r="Y85" s="64"/>
      <c r="Z85" s="64"/>
    </row>
    <row r="86" spans="2:26" ht="15" x14ac:dyDescent="0.35">
      <c r="B86" s="81" t="str">
        <f>IF(C71="nee","","Welke orientatie hebben de panelen?")</f>
        <v/>
      </c>
      <c r="C86" s="137" t="s">
        <v>154</v>
      </c>
      <c r="D86" s="91"/>
      <c r="J86" s="64"/>
      <c r="K86" s="64"/>
      <c r="L86" s="64"/>
      <c r="M86" s="64"/>
      <c r="N86" s="64"/>
      <c r="O86" s="64"/>
      <c r="P86" s="64"/>
      <c r="Q86" s="64"/>
      <c r="R86" s="64"/>
      <c r="S86" s="64"/>
      <c r="T86" s="64"/>
      <c r="U86" s="64"/>
      <c r="V86" s="64"/>
      <c r="W86" s="64"/>
      <c r="X86" s="64"/>
      <c r="Y86" s="64"/>
      <c r="Z86" s="64"/>
    </row>
    <row r="87" spans="2:26" ht="15" x14ac:dyDescent="0.35">
      <c r="B87" s="79" t="s">
        <v>510</v>
      </c>
      <c r="C87" s="138">
        <v>0</v>
      </c>
      <c r="D87" s="91" t="s">
        <v>321</v>
      </c>
      <c r="J87" s="64"/>
      <c r="K87" s="64"/>
      <c r="L87" s="64"/>
      <c r="M87" s="64"/>
      <c r="N87" s="64"/>
      <c r="O87" s="64"/>
      <c r="P87" s="64"/>
      <c r="Q87" s="64"/>
      <c r="R87" s="64"/>
      <c r="S87" s="64"/>
      <c r="T87" s="64"/>
      <c r="U87" s="64"/>
      <c r="V87" s="64"/>
      <c r="W87" s="64"/>
      <c r="X87" s="64"/>
      <c r="Y87" s="64"/>
      <c r="Z87" s="64"/>
    </row>
    <row r="88" spans="2:26" ht="15" x14ac:dyDescent="0.35">
      <c r="B88" s="79" t="str">
        <f>IF(C71="nee","","Is er sprake van ventilatie achter de panelen?")</f>
        <v/>
      </c>
      <c r="C88" s="138" t="s">
        <v>146</v>
      </c>
      <c r="D88" s="91"/>
      <c r="J88" s="64"/>
      <c r="K88" s="64"/>
      <c r="L88" s="64"/>
      <c r="M88" s="64"/>
      <c r="N88" s="64"/>
      <c r="O88" s="64"/>
      <c r="P88" s="64"/>
      <c r="Q88" s="64"/>
      <c r="R88" s="64"/>
      <c r="S88" s="64"/>
      <c r="T88" s="64"/>
      <c r="U88" s="64"/>
      <c r="V88" s="64"/>
      <c r="W88" s="64"/>
      <c r="X88" s="64"/>
      <c r="Y88" s="64"/>
      <c r="Z88" s="64"/>
    </row>
    <row r="89" spans="2:26" ht="15" x14ac:dyDescent="0.35">
      <c r="B89" s="79" t="str">
        <f>IF(C71="nee","","Is er sprake van beschaduwing van de panelen?")</f>
        <v/>
      </c>
      <c r="C89" s="138" t="s">
        <v>302</v>
      </c>
      <c r="D89" s="91"/>
      <c r="J89" s="64"/>
      <c r="K89" s="64"/>
      <c r="L89" s="64"/>
      <c r="M89" s="64"/>
      <c r="N89" s="64"/>
      <c r="O89" s="64"/>
      <c r="P89" s="64"/>
      <c r="Q89" s="64"/>
      <c r="R89" s="64"/>
      <c r="S89" s="64"/>
      <c r="T89" s="64"/>
      <c r="U89" s="64"/>
      <c r="V89" s="64"/>
      <c r="W89" s="64"/>
      <c r="X89" s="64"/>
      <c r="Y89" s="64"/>
      <c r="Z89" s="64"/>
    </row>
    <row r="90" spans="2:26" ht="15" x14ac:dyDescent="0.35">
      <c r="B90" s="80" t="str">
        <f>IF(LEFT(C89,3)="zij","Wat is de relatieve breedte van de belemmering?","")</f>
        <v/>
      </c>
      <c r="C90" s="137"/>
      <c r="D90" s="91"/>
      <c r="J90" s="64"/>
      <c r="K90" s="64"/>
      <c r="L90" s="64"/>
      <c r="M90" s="64"/>
      <c r="N90" s="64"/>
      <c r="O90" s="64"/>
      <c r="P90" s="64"/>
      <c r="Q90" s="64"/>
      <c r="R90" s="64"/>
      <c r="S90" s="64"/>
      <c r="T90" s="64"/>
      <c r="U90" s="64"/>
      <c r="V90" s="64"/>
      <c r="W90" s="64"/>
      <c r="X90" s="64"/>
      <c r="Y90" s="64"/>
      <c r="Z90" s="64"/>
    </row>
    <row r="91" spans="2:26" ht="15" x14ac:dyDescent="0.35">
      <c r="B91" s="87" t="str">
        <f>IF(C71="nee","","Is er nog een PV-systeem aanwezig?")</f>
        <v/>
      </c>
      <c r="C91" s="141" t="s">
        <v>334</v>
      </c>
      <c r="D91" s="91"/>
      <c r="J91" s="64"/>
      <c r="K91" s="64"/>
      <c r="L91" s="64"/>
      <c r="M91" s="64"/>
      <c r="N91" s="64"/>
      <c r="O91" s="64"/>
      <c r="P91" s="64"/>
      <c r="Q91" s="64"/>
      <c r="R91" s="64"/>
      <c r="S91" s="64"/>
      <c r="T91" s="64"/>
      <c r="U91" s="64"/>
      <c r="V91" s="64"/>
      <c r="W91" s="64"/>
      <c r="X91" s="64"/>
      <c r="Y91" s="64"/>
      <c r="Z91" s="64"/>
    </row>
    <row r="92" spans="2:26" x14ac:dyDescent="0.3">
      <c r="B92" s="72"/>
      <c r="D92" s="73"/>
      <c r="J92" s="64"/>
      <c r="K92" s="64"/>
      <c r="L92" s="64"/>
      <c r="M92" s="64"/>
      <c r="N92" s="64"/>
      <c r="O92" s="64"/>
      <c r="P92" s="64"/>
      <c r="Q92" s="64"/>
      <c r="R92" s="64"/>
      <c r="S92" s="64"/>
      <c r="T92" s="64"/>
      <c r="U92" s="64"/>
      <c r="V92" s="64"/>
      <c r="W92" s="64"/>
      <c r="X92" s="64"/>
      <c r="Y92" s="64"/>
      <c r="Z92" s="64"/>
    </row>
    <row r="93" spans="2:26" ht="15" x14ac:dyDescent="0.35">
      <c r="B93" s="77" t="s">
        <v>322</v>
      </c>
      <c r="C93" s="77" t="str">
        <f>IF(C91="ja","Systeem 4","Geen vierde systeem")</f>
        <v>Geen vierde systeem</v>
      </c>
      <c r="D93" s="67"/>
      <c r="J93" s="64"/>
      <c r="K93" s="64"/>
      <c r="L93" s="64"/>
      <c r="M93" s="64"/>
      <c r="N93" s="64"/>
      <c r="O93" s="64"/>
      <c r="P93" s="64"/>
      <c r="Q93" s="64"/>
      <c r="R93" s="64"/>
      <c r="S93" s="64"/>
      <c r="T93" s="64"/>
      <c r="U93" s="64"/>
      <c r="V93" s="64"/>
      <c r="W93" s="64"/>
      <c r="X93" s="64"/>
      <c r="Y93" s="64"/>
      <c r="Z93" s="64"/>
    </row>
    <row r="94" spans="2:26" ht="15" x14ac:dyDescent="0.35">
      <c r="B94" s="81" t="str">
        <f>IF(C91="ja","Naam of omschrijving systeem","")</f>
        <v/>
      </c>
      <c r="C94" s="137" t="s">
        <v>529</v>
      </c>
      <c r="D94" s="89"/>
      <c r="J94" s="64"/>
      <c r="K94" s="64"/>
      <c r="L94" s="64"/>
      <c r="M94" s="64"/>
      <c r="N94" s="64"/>
      <c r="O94" s="64"/>
      <c r="P94" s="64"/>
      <c r="Q94" s="64"/>
      <c r="R94" s="64"/>
      <c r="S94" s="64"/>
      <c r="T94" s="64"/>
      <c r="U94" s="64"/>
      <c r="V94" s="64"/>
      <c r="W94" s="64"/>
      <c r="X94" s="64"/>
      <c r="Y94" s="64"/>
      <c r="Z94" s="64"/>
    </row>
    <row r="95" spans="2:26" ht="15" x14ac:dyDescent="0.35">
      <c r="B95" s="79" t="str">
        <f>IF(C91="ja","Is het een nieuw systeem of bestaand?","")</f>
        <v/>
      </c>
      <c r="C95" s="138" t="s">
        <v>299</v>
      </c>
      <c r="D95" s="89"/>
      <c r="J95" s="64"/>
      <c r="K95" s="64"/>
      <c r="L95" s="64"/>
      <c r="M95" s="64"/>
      <c r="N95" s="64"/>
      <c r="O95" s="64"/>
      <c r="P95" s="64"/>
      <c r="Q95" s="64"/>
      <c r="R95" s="64"/>
      <c r="S95" s="64"/>
      <c r="T95" s="64"/>
      <c r="U95" s="64"/>
      <c r="V95" s="64"/>
      <c r="W95" s="64"/>
      <c r="X95" s="64"/>
      <c r="Y95" s="64"/>
      <c r="Z95" s="64"/>
    </row>
    <row r="96" spans="2:26" ht="15" x14ac:dyDescent="0.35">
      <c r="B96" s="79" t="str">
        <f>IF(C91="ja",IF(C95="nieuw systeem","","Wat is het installatiejaar van de PV-panelen?"),"")</f>
        <v/>
      </c>
      <c r="C96" s="140"/>
      <c r="D96" s="90" t="str">
        <f>IF(C95="bestaand systeem","bv. 1995","")</f>
        <v/>
      </c>
      <c r="J96" s="64"/>
      <c r="K96" s="64"/>
      <c r="L96" s="64"/>
      <c r="M96" s="64"/>
      <c r="N96" s="64"/>
      <c r="O96" s="64"/>
      <c r="P96" s="64"/>
      <c r="Q96" s="64"/>
      <c r="R96" s="64"/>
      <c r="S96" s="64"/>
      <c r="T96" s="64"/>
      <c r="U96" s="64"/>
      <c r="V96" s="64"/>
      <c r="W96" s="64"/>
      <c r="X96" s="64"/>
      <c r="Y96" s="64"/>
      <c r="Z96" s="64"/>
    </row>
    <row r="97" spans="2:26" ht="15" x14ac:dyDescent="0.35">
      <c r="B97" s="85"/>
      <c r="C97" s="83"/>
      <c r="D97" s="95"/>
      <c r="J97" s="64"/>
      <c r="K97" s="64"/>
      <c r="L97" s="64"/>
      <c r="M97" s="64"/>
      <c r="N97" s="64"/>
      <c r="O97" s="64"/>
      <c r="P97" s="64"/>
      <c r="Q97" s="64"/>
      <c r="R97" s="64"/>
      <c r="S97" s="64"/>
      <c r="T97" s="64"/>
      <c r="U97" s="64"/>
      <c r="V97" s="64"/>
      <c r="W97" s="64"/>
      <c r="X97" s="64"/>
      <c r="Y97" s="64"/>
      <c r="Z97" s="64"/>
    </row>
    <row r="98" spans="2:26" ht="15" x14ac:dyDescent="0.35">
      <c r="B98" s="81" t="s">
        <v>426</v>
      </c>
      <c r="C98" s="139" t="s">
        <v>508</v>
      </c>
      <c r="D98" s="89"/>
      <c r="J98" s="64"/>
      <c r="K98" s="64"/>
      <c r="L98" s="64"/>
      <c r="M98" s="64"/>
      <c r="N98" s="64"/>
      <c r="O98" s="64"/>
      <c r="P98" s="64"/>
      <c r="Q98" s="64"/>
      <c r="R98" s="64"/>
      <c r="S98" s="64"/>
      <c r="T98" s="64"/>
      <c r="U98" s="64"/>
      <c r="V98" s="64"/>
      <c r="W98" s="64"/>
      <c r="X98" s="64"/>
      <c r="Y98" s="64"/>
      <c r="Z98" s="64"/>
    </row>
    <row r="99" spans="2:26" ht="15" x14ac:dyDescent="0.35">
      <c r="B99" s="79" t="str">
        <f>IF(C91="nee","","Welke gegevens van het PV Systeem zijn bekend?")</f>
        <v/>
      </c>
      <c r="C99" s="140" t="s">
        <v>290</v>
      </c>
      <c r="D99" s="89"/>
      <c r="J99" s="64"/>
      <c r="K99" s="64"/>
      <c r="L99" s="64"/>
      <c r="M99" s="64"/>
      <c r="N99" s="64"/>
      <c r="O99" s="64"/>
      <c r="P99" s="64"/>
      <c r="Q99" s="64"/>
      <c r="R99" s="64"/>
      <c r="S99" s="64"/>
      <c r="T99" s="64"/>
      <c r="U99" s="64"/>
      <c r="V99" s="64"/>
      <c r="W99" s="64"/>
      <c r="X99" s="64"/>
      <c r="Y99" s="64"/>
      <c r="Z99" s="64"/>
    </row>
    <row r="100" spans="2:26" ht="15" x14ac:dyDescent="0.35">
      <c r="B100" s="79" t="str" cm="1">
        <f t="array" ref="B100">IF(C91="nee","",INDEX(keuzePV,(VLOOKUP(C99,Systeemdetails,2,FALSE)+1),'Drop-down'!$M$22))</f>
        <v/>
      </c>
      <c r="C100" s="164"/>
      <c r="D100" s="91" cm="1">
        <f t="array" ref="D100">INDEX(keuzePV,(VLOOKUP(C99,Systeemdetails,2,FALSE)+1),'Drop-down'!$N$22)</f>
        <v>0</v>
      </c>
      <c r="J100" s="64"/>
      <c r="K100" s="64"/>
      <c r="L100" s="64"/>
      <c r="M100" s="64"/>
      <c r="N100" s="64"/>
      <c r="O100" s="64"/>
      <c r="P100" s="64"/>
      <c r="Q100" s="64"/>
      <c r="R100" s="64"/>
      <c r="S100" s="64"/>
      <c r="T100" s="64"/>
      <c r="U100" s="64"/>
      <c r="V100" s="64"/>
      <c r="W100" s="64"/>
      <c r="X100" s="64"/>
      <c r="Y100" s="64"/>
      <c r="Z100" s="64"/>
    </row>
    <row r="101" spans="2:26" ht="15" x14ac:dyDescent="0.35">
      <c r="B101" s="79" t="str" cm="1">
        <f t="array" ref="B101">IF(C91="nee","",INDEX(keuzePV,(VLOOKUP(C99,Systeemdetails,2,FALSE)+1),'Drop-down'!$O$22))</f>
        <v/>
      </c>
      <c r="C101" s="163"/>
      <c r="D101" s="91" cm="1">
        <f t="array" ref="D101">INDEX(keuzePV,(VLOOKUP(C99,Systeemdetails,2,FALSE)+1),'Drop-down'!$P$22)</f>
        <v>0</v>
      </c>
      <c r="J101" s="64"/>
      <c r="K101" s="64"/>
      <c r="L101" s="64"/>
      <c r="M101" s="64"/>
      <c r="N101" s="64"/>
      <c r="O101" s="64"/>
      <c r="P101" s="64"/>
      <c r="Q101" s="64"/>
      <c r="R101" s="64"/>
      <c r="S101" s="64"/>
      <c r="T101" s="64"/>
      <c r="U101" s="64"/>
      <c r="V101" s="64"/>
      <c r="W101" s="64"/>
      <c r="X101" s="64"/>
      <c r="Y101" s="64"/>
      <c r="Z101" s="64"/>
    </row>
    <row r="102" spans="2:26" ht="15" x14ac:dyDescent="0.35">
      <c r="B102" s="79" t="str" cm="1">
        <f t="array" ref="B102">IF(C91="nee","",INDEX(keuzePV,(VLOOKUP(C99,Systeemdetails,2,FALSE)+1),'Drop-down'!$Q$22))</f>
        <v/>
      </c>
      <c r="C102" s="140" t="s">
        <v>41</v>
      </c>
      <c r="D102" s="91"/>
      <c r="J102" s="64"/>
      <c r="K102" s="64"/>
      <c r="L102" s="64"/>
      <c r="M102" s="64"/>
      <c r="N102" s="64"/>
      <c r="O102" s="64"/>
      <c r="P102" s="64"/>
      <c r="Q102" s="64"/>
      <c r="R102" s="64"/>
      <c r="S102" s="64"/>
      <c r="T102" s="64"/>
      <c r="U102" s="64"/>
      <c r="V102" s="64"/>
      <c r="W102" s="64"/>
      <c r="X102" s="64"/>
      <c r="Y102" s="64"/>
      <c r="Z102" s="64"/>
    </row>
    <row r="103" spans="2:26" ht="30" customHeight="1" x14ac:dyDescent="0.35">
      <c r="B103" s="86">
        <f>IF(B102="Selecteer_zonnepaneeltype","Forfaitair waarde zonnepaneel",0)</f>
        <v>0</v>
      </c>
      <c r="C103" s="147">
        <f>IF(NOT(B103=0),'Drop-down'!AL5,0)</f>
        <v>0</v>
      </c>
      <c r="D103" s="91"/>
      <c r="J103" s="64"/>
      <c r="K103" s="64"/>
      <c r="L103" s="64"/>
      <c r="M103" s="64"/>
      <c r="N103" s="64"/>
      <c r="O103" s="64"/>
      <c r="P103" s="64"/>
      <c r="Q103" s="64"/>
      <c r="R103" s="64"/>
      <c r="S103" s="64"/>
      <c r="T103" s="64"/>
      <c r="U103" s="64"/>
      <c r="V103" s="64"/>
      <c r="W103" s="64"/>
      <c r="X103" s="64"/>
      <c r="Y103" s="64"/>
      <c r="Z103" s="64"/>
    </row>
    <row r="104" spans="2:26" ht="15" x14ac:dyDescent="0.35">
      <c r="B104" s="86" t="str">
        <f>IF(C91="nee","","Totaal piekvermogen van systeem 4")</f>
        <v/>
      </c>
      <c r="C104" s="166" t="str">
        <f>'Drop-down'!AU5</f>
        <v>nvt</v>
      </c>
      <c r="D104" s="91" t="s">
        <v>327</v>
      </c>
      <c r="J104" s="64"/>
      <c r="K104" s="64"/>
      <c r="L104" s="64"/>
      <c r="M104" s="64"/>
      <c r="N104" s="64"/>
      <c r="O104" s="64"/>
      <c r="P104" s="64"/>
      <c r="Q104" s="64"/>
      <c r="R104" s="64"/>
      <c r="S104" s="64"/>
      <c r="T104" s="64"/>
      <c r="U104" s="64"/>
      <c r="V104" s="64"/>
      <c r="W104" s="64"/>
      <c r="X104" s="64"/>
      <c r="Y104" s="64"/>
      <c r="Z104" s="64"/>
    </row>
    <row r="105" spans="2:26" ht="15" x14ac:dyDescent="0.35">
      <c r="B105" s="93"/>
      <c r="C105" s="94"/>
      <c r="D105" s="91"/>
      <c r="J105" s="64"/>
      <c r="K105" s="64"/>
      <c r="L105" s="64"/>
      <c r="M105" s="64"/>
      <c r="N105" s="64"/>
      <c r="O105" s="64"/>
      <c r="P105" s="64"/>
      <c r="Q105" s="64"/>
      <c r="R105" s="64"/>
      <c r="S105" s="64"/>
      <c r="T105" s="64"/>
      <c r="U105" s="64"/>
      <c r="V105" s="64"/>
      <c r="W105" s="64"/>
      <c r="X105" s="64"/>
      <c r="Y105" s="64"/>
      <c r="Z105" s="64"/>
    </row>
    <row r="106" spans="2:26" ht="15" x14ac:dyDescent="0.35">
      <c r="B106" s="81" t="str">
        <f>IF(C91="nee","","Welke orientatie hebben de panelen?")</f>
        <v/>
      </c>
      <c r="C106" s="137" t="s">
        <v>154</v>
      </c>
      <c r="D106" s="91"/>
      <c r="J106" s="64"/>
      <c r="K106" s="64"/>
      <c r="L106" s="64"/>
      <c r="M106" s="64"/>
      <c r="N106" s="64"/>
      <c r="O106" s="64"/>
      <c r="P106" s="64"/>
      <c r="Q106" s="64"/>
      <c r="R106" s="64"/>
      <c r="S106" s="64"/>
      <c r="T106" s="64"/>
      <c r="U106" s="64"/>
      <c r="V106" s="64"/>
      <c r="W106" s="64"/>
      <c r="X106" s="64"/>
      <c r="Y106" s="64"/>
      <c r="Z106" s="64"/>
    </row>
    <row r="107" spans="2:26" ht="15" x14ac:dyDescent="0.35">
      <c r="B107" s="79" t="s">
        <v>510</v>
      </c>
      <c r="C107" s="138">
        <v>0</v>
      </c>
      <c r="D107" s="91" t="s">
        <v>321</v>
      </c>
      <c r="J107" s="64"/>
      <c r="K107" s="64"/>
      <c r="L107" s="64"/>
      <c r="M107" s="64"/>
      <c r="N107" s="64"/>
      <c r="O107" s="64"/>
      <c r="P107" s="64"/>
      <c r="Q107" s="64"/>
      <c r="R107" s="64"/>
      <c r="S107" s="64"/>
      <c r="T107" s="64"/>
      <c r="U107" s="64"/>
      <c r="V107" s="64"/>
      <c r="W107" s="64"/>
      <c r="X107" s="64"/>
      <c r="Y107" s="64"/>
      <c r="Z107" s="64"/>
    </row>
    <row r="108" spans="2:26" ht="15" x14ac:dyDescent="0.35">
      <c r="B108" s="79" t="str">
        <f>IF(C91="nee","","Is er sprake van ventilatie achter de panelen?")</f>
        <v/>
      </c>
      <c r="C108" s="138" t="s">
        <v>146</v>
      </c>
      <c r="D108" s="91"/>
      <c r="J108" s="64"/>
      <c r="K108" s="64"/>
      <c r="L108" s="64"/>
      <c r="M108" s="64"/>
      <c r="N108" s="64"/>
      <c r="O108" s="64"/>
      <c r="P108" s="64"/>
      <c r="Q108" s="64"/>
      <c r="R108" s="64"/>
      <c r="S108" s="64"/>
      <c r="T108" s="64"/>
      <c r="U108" s="64"/>
      <c r="V108" s="64"/>
      <c r="W108" s="64"/>
      <c r="X108" s="64"/>
      <c r="Y108" s="64"/>
      <c r="Z108" s="64"/>
    </row>
    <row r="109" spans="2:26" ht="15" x14ac:dyDescent="0.35">
      <c r="B109" s="79" t="str">
        <f>IF(C91="nee","","Is er sprake van beschaduwing van de panelen?")</f>
        <v/>
      </c>
      <c r="C109" s="138" t="s">
        <v>302</v>
      </c>
      <c r="D109" s="91"/>
      <c r="J109" s="64"/>
      <c r="K109" s="64"/>
      <c r="L109" s="64"/>
      <c r="M109" s="64"/>
      <c r="N109" s="64"/>
      <c r="O109" s="64"/>
      <c r="P109" s="64"/>
      <c r="Q109" s="64"/>
      <c r="R109" s="64"/>
      <c r="S109" s="64"/>
      <c r="T109" s="64"/>
      <c r="U109" s="64"/>
      <c r="V109" s="64"/>
      <c r="W109" s="64"/>
      <c r="X109" s="64"/>
      <c r="Y109" s="64"/>
      <c r="Z109" s="64"/>
    </row>
    <row r="110" spans="2:26" ht="15" x14ac:dyDescent="0.35">
      <c r="B110" s="80" t="str">
        <f>IF(LEFT(C109,3)="zij","Wat is de relatieve breedte van de belemmering?","")</f>
        <v/>
      </c>
      <c r="C110" s="137"/>
      <c r="D110" s="91"/>
      <c r="J110" s="64"/>
      <c r="K110" s="64"/>
      <c r="L110" s="64"/>
      <c r="M110" s="64"/>
      <c r="N110" s="64"/>
      <c r="O110" s="64"/>
      <c r="P110" s="64"/>
      <c r="Q110" s="64"/>
      <c r="R110" s="64"/>
      <c r="S110" s="64"/>
      <c r="T110" s="64"/>
      <c r="U110" s="64"/>
      <c r="V110" s="64"/>
      <c r="W110" s="64"/>
      <c r="X110" s="64"/>
      <c r="Y110" s="64"/>
      <c r="Z110" s="64"/>
    </row>
    <row r="111" spans="2:26" ht="15" x14ac:dyDescent="0.35">
      <c r="B111" s="87" t="str">
        <f>IF(C91="nee","","Is er nog een PV-systeem aanwezig?")</f>
        <v/>
      </c>
      <c r="C111" s="141" t="s">
        <v>334</v>
      </c>
      <c r="D111" s="91"/>
      <c r="J111" s="64"/>
      <c r="K111" s="64"/>
      <c r="L111" s="64"/>
      <c r="M111" s="64"/>
      <c r="N111" s="64"/>
      <c r="O111" s="64"/>
      <c r="P111" s="64"/>
      <c r="Q111" s="64"/>
      <c r="R111" s="64"/>
      <c r="S111" s="64"/>
      <c r="T111" s="64"/>
      <c r="U111" s="64"/>
      <c r="V111" s="64"/>
      <c r="W111" s="64"/>
      <c r="X111" s="64"/>
      <c r="Y111" s="64"/>
      <c r="Z111" s="64"/>
    </row>
    <row r="112" spans="2:26" x14ac:dyDescent="0.3">
      <c r="B112" s="72"/>
      <c r="D112" s="73"/>
      <c r="J112" s="64"/>
      <c r="K112" s="64"/>
      <c r="L112" s="64"/>
      <c r="M112" s="64"/>
      <c r="N112" s="64"/>
      <c r="O112" s="64"/>
      <c r="P112" s="64"/>
      <c r="Q112" s="64"/>
      <c r="R112" s="64"/>
      <c r="S112" s="64"/>
      <c r="T112" s="64"/>
      <c r="U112" s="64"/>
      <c r="V112" s="64"/>
      <c r="W112" s="64"/>
      <c r="X112" s="64"/>
      <c r="Y112" s="64"/>
      <c r="Z112" s="64"/>
    </row>
    <row r="113" spans="2:26" ht="15" x14ac:dyDescent="0.35">
      <c r="B113" s="77" t="s">
        <v>322</v>
      </c>
      <c r="C113" s="77" t="str">
        <f>IF(C111="ja","Systeem 5","Geen vijfde systeem")</f>
        <v>Geen vijfde systeem</v>
      </c>
      <c r="D113" s="67"/>
      <c r="J113" s="64"/>
      <c r="K113" s="64"/>
      <c r="L113" s="64"/>
      <c r="M113" s="64"/>
      <c r="N113" s="64"/>
      <c r="O113" s="64"/>
      <c r="P113" s="64"/>
      <c r="Q113" s="64"/>
      <c r="R113" s="64"/>
      <c r="S113" s="64"/>
      <c r="T113" s="64"/>
      <c r="U113" s="64"/>
      <c r="V113" s="64"/>
      <c r="W113" s="64"/>
      <c r="X113" s="64"/>
      <c r="Y113" s="64"/>
      <c r="Z113" s="64"/>
    </row>
    <row r="114" spans="2:26" ht="15" x14ac:dyDescent="0.35">
      <c r="B114" s="81" t="str">
        <f>IF(C111="ja","Naam of omschrijving systeem","")</f>
        <v/>
      </c>
      <c r="C114" s="137" t="s">
        <v>528</v>
      </c>
      <c r="D114" s="89"/>
      <c r="J114" s="64"/>
      <c r="K114" s="64"/>
      <c r="L114" s="64"/>
      <c r="M114" s="64"/>
      <c r="N114" s="64"/>
      <c r="O114" s="64"/>
      <c r="P114" s="64"/>
      <c r="Q114" s="64"/>
      <c r="R114" s="64"/>
      <c r="S114" s="64"/>
      <c r="T114" s="64"/>
      <c r="U114" s="64"/>
      <c r="V114" s="64"/>
      <c r="W114" s="64"/>
      <c r="X114" s="64"/>
      <c r="Y114" s="64"/>
      <c r="Z114" s="64"/>
    </row>
    <row r="115" spans="2:26" ht="15" x14ac:dyDescent="0.35">
      <c r="B115" s="79" t="str">
        <f>IF(C111="ja","Is het een nieuw systeem of bestaand?","")</f>
        <v/>
      </c>
      <c r="C115" s="138" t="s">
        <v>299</v>
      </c>
      <c r="D115" s="89"/>
      <c r="J115" s="64"/>
      <c r="K115" s="64"/>
      <c r="L115" s="64"/>
      <c r="M115" s="64"/>
      <c r="N115" s="64"/>
      <c r="O115" s="64"/>
      <c r="P115" s="64"/>
      <c r="Q115" s="64"/>
      <c r="R115" s="64"/>
      <c r="S115" s="64"/>
      <c r="T115" s="64"/>
      <c r="U115" s="64"/>
      <c r="V115" s="64"/>
      <c r="W115" s="64"/>
      <c r="X115" s="64"/>
      <c r="Y115" s="64"/>
      <c r="Z115" s="64"/>
    </row>
    <row r="116" spans="2:26" ht="15" x14ac:dyDescent="0.35">
      <c r="B116" s="79" t="str">
        <f>IF(C111="ja",IF(C115="nieuw systeem","","Wat is het installatiejaar van de PV-panelen?"),"")</f>
        <v/>
      </c>
      <c r="C116" s="140"/>
      <c r="D116" s="90" t="str">
        <f>IF(C115="bestaand systeem","bv. 1995","")</f>
        <v/>
      </c>
      <c r="J116" s="64"/>
      <c r="K116" s="64"/>
      <c r="L116" s="64"/>
      <c r="M116" s="64"/>
      <c r="N116" s="64"/>
      <c r="O116" s="64"/>
      <c r="P116" s="64"/>
      <c r="Q116" s="64"/>
      <c r="R116" s="64"/>
      <c r="S116" s="64"/>
      <c r="T116" s="64"/>
      <c r="U116" s="64"/>
      <c r="V116" s="64"/>
      <c r="W116" s="64"/>
      <c r="X116" s="64"/>
      <c r="Y116" s="64"/>
      <c r="Z116" s="64"/>
    </row>
    <row r="117" spans="2:26" ht="15" x14ac:dyDescent="0.35">
      <c r="B117" s="85"/>
      <c r="C117" s="83"/>
      <c r="D117" s="95"/>
      <c r="J117" s="64"/>
      <c r="K117" s="64"/>
      <c r="L117" s="64"/>
      <c r="M117" s="64"/>
      <c r="N117" s="64"/>
      <c r="O117" s="64"/>
      <c r="P117" s="64"/>
      <c r="Q117" s="64"/>
      <c r="R117" s="64"/>
      <c r="S117" s="64"/>
      <c r="T117" s="64"/>
      <c r="U117" s="64"/>
      <c r="V117" s="64"/>
      <c r="W117" s="64"/>
      <c r="X117" s="64"/>
      <c r="Y117" s="64"/>
      <c r="Z117" s="64"/>
    </row>
    <row r="118" spans="2:26" ht="15" x14ac:dyDescent="0.35">
      <c r="B118" s="81" t="s">
        <v>426</v>
      </c>
      <c r="C118" s="139" t="s">
        <v>508</v>
      </c>
      <c r="D118" s="89"/>
      <c r="J118" s="64"/>
      <c r="K118" s="64"/>
      <c r="L118" s="64"/>
      <c r="M118" s="64"/>
      <c r="N118" s="64"/>
      <c r="O118" s="64"/>
      <c r="P118" s="64"/>
      <c r="Q118" s="64"/>
      <c r="R118" s="64"/>
      <c r="S118" s="64"/>
      <c r="T118" s="64"/>
      <c r="U118" s="64"/>
      <c r="V118" s="64"/>
      <c r="W118" s="64"/>
      <c r="X118" s="64"/>
      <c r="Y118" s="64"/>
      <c r="Z118" s="64"/>
    </row>
    <row r="119" spans="2:26" ht="15" x14ac:dyDescent="0.35">
      <c r="B119" s="79" t="str">
        <f>IF(C111="nee","","Welke gegevens van het PV Systeem zijn bekend?")</f>
        <v/>
      </c>
      <c r="C119" s="140" t="s">
        <v>290</v>
      </c>
      <c r="D119" s="89"/>
      <c r="J119" s="64"/>
      <c r="K119" s="64"/>
      <c r="L119" s="64"/>
      <c r="M119" s="64"/>
      <c r="N119" s="64"/>
      <c r="O119" s="64"/>
      <c r="P119" s="64"/>
      <c r="Q119" s="64"/>
      <c r="R119" s="64"/>
      <c r="S119" s="64"/>
      <c r="T119" s="64"/>
      <c r="U119" s="64"/>
      <c r="V119" s="64"/>
      <c r="W119" s="64"/>
      <c r="X119" s="64"/>
      <c r="Y119" s="64"/>
      <c r="Z119" s="64"/>
    </row>
    <row r="120" spans="2:26" ht="15" x14ac:dyDescent="0.35">
      <c r="B120" s="79" t="str" cm="1">
        <f t="array" ref="B120">IF(C111="nee","",INDEX(keuzePV,(VLOOKUP(C119,Systeemdetails,2,FALSE)+1),'Drop-down'!$M$22))</f>
        <v/>
      </c>
      <c r="C120" s="164"/>
      <c r="D120" s="91" cm="1">
        <f t="array" ref="D120">INDEX(keuzePV,(VLOOKUP(C119,Systeemdetails,2,FALSE)+1),'Drop-down'!$N$22)</f>
        <v>0</v>
      </c>
      <c r="J120" s="64"/>
      <c r="K120" s="64"/>
      <c r="L120" s="64"/>
      <c r="M120" s="64"/>
      <c r="N120" s="64"/>
      <c r="O120" s="64"/>
      <c r="P120" s="64"/>
      <c r="Q120" s="64"/>
      <c r="R120" s="64"/>
      <c r="S120" s="64"/>
      <c r="T120" s="64"/>
      <c r="U120" s="64"/>
      <c r="V120" s="64"/>
      <c r="W120" s="64"/>
      <c r="X120" s="64"/>
      <c r="Y120" s="64"/>
      <c r="Z120" s="64"/>
    </row>
    <row r="121" spans="2:26" ht="15" x14ac:dyDescent="0.35">
      <c r="B121" s="79" t="str" cm="1">
        <f t="array" ref="B121">IF(C111="nee","",INDEX(keuzePV,(VLOOKUP(C119,Systeemdetails,2,FALSE)+1),'Drop-down'!$O$22))</f>
        <v/>
      </c>
      <c r="C121" s="163"/>
      <c r="D121" s="91" cm="1">
        <f t="array" ref="D121">INDEX(keuzePV,(VLOOKUP(C119,Systeemdetails,2,FALSE)+1),'Drop-down'!$P$22)</f>
        <v>0</v>
      </c>
      <c r="J121" s="64"/>
      <c r="K121" s="64"/>
      <c r="L121" s="64"/>
      <c r="M121" s="64"/>
      <c r="N121" s="64"/>
      <c r="O121" s="64"/>
      <c r="P121" s="64"/>
      <c r="Q121" s="64"/>
      <c r="R121" s="64"/>
      <c r="S121" s="64"/>
      <c r="T121" s="64"/>
      <c r="U121" s="64"/>
      <c r="V121" s="64"/>
      <c r="W121" s="64"/>
      <c r="X121" s="64"/>
      <c r="Y121" s="64"/>
      <c r="Z121" s="64"/>
    </row>
    <row r="122" spans="2:26" ht="15" x14ac:dyDescent="0.35">
      <c r="B122" s="79" t="str" cm="1">
        <f t="array" ref="B122">IF(C111="nee","",INDEX(keuzePV,(VLOOKUP(C119,Systeemdetails,2,FALSE)+1),'Drop-down'!$Q$22))</f>
        <v/>
      </c>
      <c r="C122" s="140" t="s">
        <v>41</v>
      </c>
      <c r="D122" s="91"/>
      <c r="J122" s="64"/>
      <c r="K122" s="64"/>
      <c r="L122" s="64"/>
      <c r="M122" s="64"/>
      <c r="N122" s="64"/>
      <c r="O122" s="64"/>
      <c r="P122" s="64"/>
      <c r="Q122" s="64"/>
      <c r="R122" s="64"/>
      <c r="S122" s="64"/>
      <c r="T122" s="64"/>
      <c r="U122" s="64"/>
      <c r="V122" s="64"/>
      <c r="W122" s="64"/>
      <c r="X122" s="64"/>
      <c r="Y122" s="64"/>
      <c r="Z122" s="64"/>
    </row>
    <row r="123" spans="2:26" ht="30" customHeight="1" x14ac:dyDescent="0.35">
      <c r="B123" s="86">
        <f>IF(B122="Selecteer_zonnepaneeltype","Forfaitair waarde zonnepaneel",0)</f>
        <v>0</v>
      </c>
      <c r="C123" s="147">
        <f>IF(NOT(B123=0),'Drop-down'!AL6,0)</f>
        <v>0</v>
      </c>
      <c r="D123" s="91"/>
      <c r="J123" s="64"/>
      <c r="K123" s="64"/>
      <c r="L123" s="64"/>
      <c r="M123" s="64"/>
      <c r="N123" s="64"/>
      <c r="O123" s="64"/>
      <c r="P123" s="64"/>
      <c r="Q123" s="64"/>
      <c r="R123" s="64"/>
      <c r="S123" s="64"/>
      <c r="T123" s="64"/>
      <c r="U123" s="64"/>
      <c r="V123" s="64"/>
      <c r="W123" s="64"/>
      <c r="X123" s="64"/>
      <c r="Y123" s="64"/>
      <c r="Z123" s="64"/>
    </row>
    <row r="124" spans="2:26" ht="15" x14ac:dyDescent="0.35">
      <c r="B124" s="86" t="str">
        <f>IF(C111="nee","","Totaal piekvermogen van systeem 5")</f>
        <v/>
      </c>
      <c r="C124" s="165" t="str">
        <f>'Drop-down'!AU6</f>
        <v>nvt</v>
      </c>
      <c r="D124" s="91" t="s">
        <v>327</v>
      </c>
      <c r="J124" s="64"/>
      <c r="K124" s="64"/>
      <c r="L124" s="64"/>
      <c r="M124" s="64"/>
      <c r="N124" s="64"/>
      <c r="O124" s="64"/>
      <c r="P124" s="64"/>
      <c r="Q124" s="64"/>
      <c r="R124" s="64"/>
      <c r="S124" s="64"/>
      <c r="T124" s="64"/>
      <c r="U124" s="64"/>
      <c r="V124" s="64"/>
      <c r="W124" s="64"/>
      <c r="X124" s="64"/>
      <c r="Y124" s="64"/>
      <c r="Z124" s="64"/>
    </row>
    <row r="125" spans="2:26" ht="15" x14ac:dyDescent="0.35">
      <c r="B125" s="93"/>
      <c r="C125" s="94"/>
      <c r="D125" s="91"/>
      <c r="J125" s="64"/>
      <c r="K125" s="64"/>
      <c r="L125" s="64"/>
      <c r="M125" s="64"/>
      <c r="N125" s="64"/>
      <c r="O125" s="64"/>
      <c r="P125" s="64"/>
      <c r="Q125" s="64"/>
      <c r="R125" s="64"/>
      <c r="S125" s="64"/>
      <c r="T125" s="64"/>
      <c r="U125" s="64"/>
      <c r="V125" s="64"/>
      <c r="W125" s="64"/>
      <c r="X125" s="64"/>
      <c r="Y125" s="64"/>
      <c r="Z125" s="64"/>
    </row>
    <row r="126" spans="2:26" ht="15" x14ac:dyDescent="0.35">
      <c r="B126" s="81" t="str">
        <f>IF(C111="nee","","Welke orientatie hebben de panelen?")</f>
        <v/>
      </c>
      <c r="C126" s="137" t="s">
        <v>154</v>
      </c>
      <c r="D126" s="91"/>
      <c r="J126" s="64"/>
      <c r="K126" s="64"/>
      <c r="L126" s="64"/>
      <c r="M126" s="64"/>
      <c r="N126" s="64"/>
      <c r="O126" s="64"/>
      <c r="P126" s="64"/>
      <c r="Q126" s="64"/>
      <c r="R126" s="64"/>
      <c r="S126" s="64"/>
      <c r="T126" s="64"/>
      <c r="U126" s="64"/>
      <c r="V126" s="64"/>
      <c r="W126" s="64"/>
      <c r="X126" s="64"/>
      <c r="Y126" s="64"/>
      <c r="Z126" s="64"/>
    </row>
    <row r="127" spans="2:26" ht="15" x14ac:dyDescent="0.35">
      <c r="B127" s="79" t="s">
        <v>510</v>
      </c>
      <c r="C127" s="138">
        <v>0</v>
      </c>
      <c r="D127" s="91" t="s">
        <v>321</v>
      </c>
      <c r="J127" s="64"/>
      <c r="K127" s="64"/>
      <c r="L127" s="64"/>
      <c r="M127" s="64"/>
      <c r="N127" s="64"/>
      <c r="O127" s="64"/>
      <c r="P127" s="64"/>
      <c r="Q127" s="64"/>
      <c r="R127" s="64"/>
      <c r="S127" s="64"/>
      <c r="T127" s="64"/>
      <c r="U127" s="64"/>
      <c r="V127" s="64"/>
      <c r="W127" s="64"/>
      <c r="X127" s="64"/>
      <c r="Y127" s="64"/>
      <c r="Z127" s="64"/>
    </row>
    <row r="128" spans="2:26" ht="15" x14ac:dyDescent="0.35">
      <c r="B128" s="79" t="str">
        <f>IF(C111="nee","","Is er sprake van ventilatie achter de panelen?")</f>
        <v/>
      </c>
      <c r="C128" s="138" t="s">
        <v>146</v>
      </c>
      <c r="D128" s="91"/>
      <c r="J128" s="64"/>
      <c r="K128" s="64"/>
      <c r="L128" s="64"/>
      <c r="M128" s="64"/>
      <c r="N128" s="64"/>
      <c r="O128" s="64"/>
      <c r="P128" s="64"/>
      <c r="Q128" s="64"/>
      <c r="R128" s="64"/>
      <c r="S128" s="64"/>
      <c r="T128" s="64"/>
      <c r="U128" s="64"/>
      <c r="V128" s="64"/>
      <c r="W128" s="64"/>
      <c r="X128" s="64"/>
      <c r="Y128" s="64"/>
      <c r="Z128" s="64"/>
    </row>
    <row r="129" spans="1:26" ht="15" x14ac:dyDescent="0.35">
      <c r="B129" s="79" t="str">
        <f>IF(C111="nee","","Is er sprake van beschaduwing van de panelen?")</f>
        <v/>
      </c>
      <c r="C129" s="138" t="s">
        <v>302</v>
      </c>
      <c r="D129" s="91"/>
      <c r="J129" s="64"/>
      <c r="K129" s="64"/>
      <c r="L129" s="64"/>
      <c r="M129" s="64"/>
      <c r="N129" s="64"/>
      <c r="O129" s="64"/>
      <c r="P129" s="64"/>
      <c r="Q129" s="64"/>
      <c r="R129" s="64"/>
      <c r="S129" s="64"/>
      <c r="T129" s="64"/>
      <c r="U129" s="64"/>
      <c r="V129" s="64"/>
      <c r="W129" s="64"/>
      <c r="X129" s="64"/>
      <c r="Y129" s="64"/>
      <c r="Z129" s="64"/>
    </row>
    <row r="130" spans="1:26" ht="15" x14ac:dyDescent="0.35">
      <c r="B130" s="80" t="str">
        <f>IF(LEFT(C129,3)="zij","Wat is de relatieve breedte van de belemmering?","")</f>
        <v/>
      </c>
      <c r="C130" s="137"/>
      <c r="D130" s="91"/>
      <c r="J130" s="64"/>
      <c r="K130" s="64"/>
      <c r="L130" s="64"/>
      <c r="M130" s="64"/>
      <c r="N130" s="64"/>
      <c r="O130" s="64"/>
      <c r="P130" s="64"/>
      <c r="Q130" s="64"/>
      <c r="R130" s="64"/>
      <c r="S130" s="64"/>
      <c r="T130" s="64"/>
      <c r="U130" s="64"/>
      <c r="V130" s="64"/>
      <c r="W130" s="64"/>
      <c r="X130" s="64"/>
      <c r="Y130" s="64"/>
      <c r="Z130" s="64"/>
    </row>
    <row r="131" spans="1:26" ht="15" x14ac:dyDescent="0.35">
      <c r="B131" s="87" t="str">
        <f>IF(C111="nee","","Is er nog een PV-systeem aanwezig?")</f>
        <v/>
      </c>
      <c r="C131" s="141" t="s">
        <v>334</v>
      </c>
      <c r="D131" s="91"/>
      <c r="J131" s="64"/>
      <c r="K131" s="64"/>
      <c r="L131" s="64"/>
      <c r="M131" s="64"/>
      <c r="N131" s="64"/>
      <c r="O131" s="64"/>
      <c r="P131" s="64"/>
      <c r="Q131" s="64"/>
      <c r="R131" s="64"/>
      <c r="S131" s="64"/>
      <c r="T131" s="64"/>
      <c r="U131" s="64"/>
      <c r="V131" s="64"/>
      <c r="W131" s="64"/>
      <c r="X131" s="64"/>
      <c r="Y131" s="64"/>
      <c r="Z131" s="64"/>
    </row>
    <row r="132" spans="1:26" x14ac:dyDescent="0.3">
      <c r="B132" s="72"/>
      <c r="D132" s="73"/>
      <c r="J132" s="64"/>
      <c r="K132" s="64"/>
      <c r="L132" s="64"/>
      <c r="M132" s="64"/>
      <c r="N132" s="64"/>
      <c r="O132" s="64"/>
      <c r="P132" s="64"/>
      <c r="Q132" s="64"/>
      <c r="R132" s="64"/>
      <c r="S132" s="64"/>
      <c r="T132" s="64"/>
      <c r="U132" s="64"/>
      <c r="V132" s="64"/>
      <c r="W132" s="64"/>
      <c r="X132" s="64"/>
      <c r="Y132" s="64"/>
      <c r="Z132" s="64"/>
    </row>
    <row r="133" spans="1:26" ht="15" x14ac:dyDescent="0.35">
      <c r="B133" s="77" t="s">
        <v>322</v>
      </c>
      <c r="C133" s="77" t="str">
        <f>IF(C131="ja","Systeem 6","Geen zesde systeem")</f>
        <v>Geen zesde systeem</v>
      </c>
      <c r="D133" s="67"/>
      <c r="J133" s="64"/>
      <c r="K133" s="64"/>
      <c r="L133" s="64"/>
      <c r="M133" s="64"/>
      <c r="N133" s="64"/>
      <c r="O133" s="64"/>
      <c r="P133" s="64"/>
      <c r="Q133" s="64"/>
      <c r="R133" s="64"/>
      <c r="S133" s="64"/>
      <c r="T133" s="64"/>
      <c r="U133" s="64"/>
      <c r="V133" s="64"/>
      <c r="W133" s="64"/>
      <c r="X133" s="64"/>
      <c r="Y133" s="64"/>
      <c r="Z133" s="64"/>
    </row>
    <row r="134" spans="1:26" ht="15" x14ac:dyDescent="0.35">
      <c r="B134" s="81" t="str">
        <f>IF(C131="ja","Naam of omschrijving systeem","")</f>
        <v/>
      </c>
      <c r="C134" s="137" t="s">
        <v>527</v>
      </c>
      <c r="D134" s="89"/>
      <c r="J134" s="64"/>
      <c r="K134" s="64"/>
      <c r="L134" s="64"/>
      <c r="M134" s="64"/>
      <c r="N134" s="64"/>
      <c r="O134" s="64"/>
      <c r="P134" s="64"/>
      <c r="Q134" s="64"/>
      <c r="R134" s="64"/>
      <c r="S134" s="64"/>
      <c r="T134" s="64"/>
      <c r="U134" s="64"/>
      <c r="V134" s="64"/>
      <c r="W134" s="64"/>
      <c r="X134" s="64"/>
      <c r="Y134" s="64"/>
      <c r="Z134" s="64"/>
    </row>
    <row r="135" spans="1:26" ht="15" x14ac:dyDescent="0.35">
      <c r="B135" s="79" t="str">
        <f>IF(C131="ja","Is het een nieuw systeem of bestaand?","")</f>
        <v/>
      </c>
      <c r="C135" s="138" t="s">
        <v>299</v>
      </c>
      <c r="D135" s="89"/>
      <c r="J135" s="64"/>
      <c r="K135" s="64"/>
      <c r="L135" s="64"/>
      <c r="M135" s="64"/>
      <c r="N135" s="64"/>
      <c r="O135" s="64"/>
      <c r="P135" s="64"/>
      <c r="Q135" s="64"/>
      <c r="R135" s="64"/>
      <c r="S135" s="64"/>
      <c r="T135" s="64"/>
      <c r="U135" s="64"/>
      <c r="V135" s="64"/>
      <c r="W135" s="64"/>
      <c r="X135" s="64"/>
      <c r="Y135" s="64"/>
      <c r="Z135" s="64"/>
    </row>
    <row r="136" spans="1:26" ht="15" x14ac:dyDescent="0.35">
      <c r="B136" s="79" t="str">
        <f>IF(C131="ja",IF(C135="nieuw systeem","","Wat is het installatiejaar van de PV-panelen?"),"")</f>
        <v/>
      </c>
      <c r="C136" s="140"/>
      <c r="D136" s="90" t="str">
        <f>IF(C135="bestaand systeem","bv. 1995","")</f>
        <v/>
      </c>
      <c r="J136" s="64"/>
      <c r="K136" s="64"/>
      <c r="L136" s="64"/>
      <c r="M136" s="64"/>
      <c r="N136" s="64"/>
      <c r="O136" s="64"/>
      <c r="P136" s="64"/>
      <c r="Q136" s="64"/>
      <c r="R136" s="64"/>
      <c r="S136" s="64"/>
      <c r="T136" s="64"/>
      <c r="U136" s="64"/>
      <c r="V136" s="64"/>
      <c r="W136" s="64"/>
      <c r="X136" s="64"/>
      <c r="Y136" s="64"/>
      <c r="Z136" s="64"/>
    </row>
    <row r="137" spans="1:26" ht="15" x14ac:dyDescent="0.35">
      <c r="B137" s="85"/>
      <c r="C137" s="83"/>
      <c r="D137" s="95"/>
      <c r="J137" s="64"/>
      <c r="K137" s="64"/>
      <c r="L137" s="64"/>
      <c r="M137" s="64"/>
      <c r="N137" s="64"/>
      <c r="O137" s="64"/>
      <c r="P137" s="64"/>
      <c r="Q137" s="64"/>
      <c r="R137" s="64"/>
      <c r="S137" s="64"/>
      <c r="T137" s="64"/>
      <c r="U137" s="64"/>
      <c r="V137" s="64"/>
      <c r="W137" s="64"/>
      <c r="X137" s="64"/>
      <c r="Y137" s="64"/>
      <c r="Z137" s="64"/>
    </row>
    <row r="138" spans="1:26" ht="15" x14ac:dyDescent="0.35">
      <c r="B138" s="81" t="s">
        <v>426</v>
      </c>
      <c r="C138" s="139" t="s">
        <v>508</v>
      </c>
      <c r="D138" s="89"/>
      <c r="J138" s="64"/>
      <c r="K138" s="64"/>
      <c r="L138" s="64"/>
      <c r="M138" s="64"/>
      <c r="N138" s="64"/>
      <c r="O138" s="64"/>
      <c r="P138" s="64"/>
      <c r="Q138" s="64"/>
      <c r="R138" s="64"/>
      <c r="S138" s="64"/>
      <c r="T138" s="64"/>
      <c r="U138" s="64"/>
      <c r="V138" s="64"/>
      <c r="W138" s="64"/>
      <c r="X138" s="64"/>
      <c r="Y138" s="64"/>
      <c r="Z138" s="64"/>
    </row>
    <row r="139" spans="1:26" ht="15" x14ac:dyDescent="0.35">
      <c r="B139" s="79" t="str">
        <f>IF(C131="nee","","Welke gegevens van het PV Systeem zijn bekend?")</f>
        <v/>
      </c>
      <c r="C139" s="140" t="s">
        <v>290</v>
      </c>
      <c r="D139" s="91"/>
      <c r="J139" s="64"/>
      <c r="K139" s="64"/>
      <c r="L139" s="64"/>
      <c r="M139" s="64"/>
      <c r="N139" s="64"/>
      <c r="O139" s="64"/>
      <c r="P139" s="64"/>
      <c r="Q139" s="64"/>
      <c r="R139" s="64"/>
      <c r="S139" s="64"/>
      <c r="T139" s="64"/>
      <c r="U139" s="64"/>
      <c r="V139" s="64"/>
      <c r="W139" s="64"/>
      <c r="X139" s="64"/>
      <c r="Y139" s="64"/>
      <c r="Z139" s="64"/>
    </row>
    <row r="140" spans="1:26" ht="15" x14ac:dyDescent="0.35">
      <c r="B140" s="79" t="str" cm="1">
        <f t="array" ref="B140">IF(C131="nee","",INDEX(keuzePV,(VLOOKUP(C139,Systeemdetails,2,FALSE)+1),'Drop-down'!$M$22))</f>
        <v/>
      </c>
      <c r="C140" s="164"/>
      <c r="D140" s="91" cm="1">
        <f t="array" ref="D140">INDEX(keuzePV,(VLOOKUP(C139,Systeemdetails,2,FALSE)+1),'Drop-down'!$N$22)</f>
        <v>0</v>
      </c>
      <c r="J140" s="64"/>
      <c r="K140" s="64"/>
      <c r="L140" s="64"/>
      <c r="M140" s="64"/>
      <c r="N140" s="64"/>
      <c r="O140" s="64"/>
      <c r="P140" s="64"/>
      <c r="Q140" s="64"/>
      <c r="R140" s="64"/>
      <c r="S140" s="64"/>
      <c r="T140" s="64"/>
      <c r="U140" s="64"/>
      <c r="V140" s="64"/>
      <c r="W140" s="64"/>
      <c r="X140" s="64"/>
      <c r="Y140" s="64"/>
      <c r="Z140" s="64"/>
    </row>
    <row r="141" spans="1:26" ht="15" x14ac:dyDescent="0.35">
      <c r="B141" s="79" t="str" cm="1">
        <f t="array" ref="B141">IF(C131="nee","",INDEX(keuzePV,(VLOOKUP(C139,Systeemdetails,2,FALSE)+1),'Drop-down'!$O$22))</f>
        <v/>
      </c>
      <c r="C141" s="163"/>
      <c r="D141" s="91" cm="1">
        <f t="array" ref="D141">INDEX(keuzePV,(VLOOKUP(C139,Systeemdetails,2,FALSE)+1),'Drop-down'!$P$22)</f>
        <v>0</v>
      </c>
      <c r="J141" s="64"/>
      <c r="K141" s="64"/>
      <c r="L141" s="64"/>
      <c r="M141" s="64"/>
      <c r="N141" s="64"/>
      <c r="O141" s="64"/>
      <c r="P141" s="64"/>
      <c r="Q141" s="64"/>
      <c r="R141" s="64"/>
      <c r="S141" s="64"/>
      <c r="T141" s="64"/>
      <c r="U141" s="64"/>
      <c r="V141" s="64"/>
      <c r="W141" s="64"/>
      <c r="X141" s="64"/>
      <c r="Y141" s="64"/>
      <c r="Z141" s="64"/>
    </row>
    <row r="142" spans="1:26" ht="15" x14ac:dyDescent="0.35">
      <c r="B142" s="79" t="str" cm="1">
        <f t="array" ref="B142">IF(C131="nee","",INDEX(keuzePV,(VLOOKUP(C139,Systeemdetails,2,FALSE)+1),'Drop-down'!$Q$22))</f>
        <v/>
      </c>
      <c r="C142" s="140" t="s">
        <v>41</v>
      </c>
      <c r="D142" s="91"/>
      <c r="J142" s="64"/>
      <c r="K142" s="64"/>
      <c r="L142" s="64"/>
      <c r="M142" s="64"/>
      <c r="N142" s="64"/>
      <c r="O142" s="64"/>
      <c r="P142" s="64"/>
      <c r="Q142" s="64"/>
      <c r="R142" s="64"/>
      <c r="S142" s="64"/>
      <c r="T142" s="64"/>
      <c r="U142" s="64"/>
      <c r="V142" s="64"/>
      <c r="W142" s="64"/>
      <c r="X142" s="64"/>
      <c r="Y142" s="64"/>
      <c r="Z142" s="64"/>
    </row>
    <row r="143" spans="1:26" s="161" customFormat="1" ht="30" customHeight="1" x14ac:dyDescent="0.35">
      <c r="A143" s="155"/>
      <c r="B143" s="156">
        <f>IF(B142="Selecteer_zonnepaneeltype","Forfaitair waarde zonnepaneel",0)</f>
        <v>0</v>
      </c>
      <c r="C143" s="147">
        <f>IF(NOT(B143=0),'Drop-down'!AL7,0)</f>
        <v>0</v>
      </c>
      <c r="D143" s="157"/>
      <c r="E143" s="158"/>
      <c r="F143" s="159"/>
      <c r="G143" s="155"/>
      <c r="H143" s="155"/>
      <c r="I143" s="155"/>
      <c r="J143" s="160"/>
      <c r="K143" s="160"/>
      <c r="L143" s="160"/>
      <c r="M143" s="160"/>
      <c r="N143" s="160"/>
      <c r="O143" s="160"/>
      <c r="P143" s="160"/>
      <c r="Q143" s="160"/>
      <c r="R143" s="160"/>
      <c r="S143" s="160"/>
      <c r="T143" s="160"/>
      <c r="U143" s="160"/>
      <c r="V143" s="160"/>
      <c r="W143" s="160"/>
      <c r="X143" s="160"/>
      <c r="Y143" s="160"/>
      <c r="Z143" s="160"/>
    </row>
    <row r="144" spans="1:26" ht="15" x14ac:dyDescent="0.35">
      <c r="B144" s="86" t="str">
        <f>IF(C131="nee","","Totaal piekvermogen van systeem 6")</f>
        <v/>
      </c>
      <c r="C144" s="165" t="str">
        <f>'Drop-down'!AU7</f>
        <v>nvt</v>
      </c>
      <c r="D144" s="91" t="s">
        <v>327</v>
      </c>
      <c r="J144" s="64"/>
      <c r="K144" s="64"/>
      <c r="L144" s="64"/>
      <c r="M144" s="64"/>
      <c r="N144" s="64"/>
      <c r="O144" s="64"/>
      <c r="P144" s="64"/>
      <c r="Q144" s="64"/>
      <c r="R144" s="64"/>
      <c r="S144" s="64"/>
      <c r="T144" s="64"/>
      <c r="U144" s="64"/>
      <c r="V144" s="64"/>
      <c r="W144" s="64"/>
      <c r="X144" s="64"/>
      <c r="Y144" s="64"/>
      <c r="Z144" s="64"/>
    </row>
    <row r="145" spans="2:26" ht="15" x14ac:dyDescent="0.35">
      <c r="B145" s="93"/>
      <c r="C145" s="94"/>
      <c r="D145" s="91"/>
      <c r="J145" s="64"/>
      <c r="K145" s="64"/>
      <c r="L145" s="64"/>
      <c r="M145" s="64"/>
      <c r="N145" s="64"/>
      <c r="O145" s="64"/>
      <c r="P145" s="64"/>
      <c r="Q145" s="64"/>
      <c r="R145" s="64"/>
      <c r="S145" s="64"/>
      <c r="T145" s="64"/>
      <c r="U145" s="64"/>
      <c r="V145" s="64"/>
      <c r="W145" s="64"/>
      <c r="X145" s="64"/>
      <c r="Y145" s="64"/>
      <c r="Z145" s="64"/>
    </row>
    <row r="146" spans="2:26" ht="15" x14ac:dyDescent="0.35">
      <c r="B146" s="81" t="str">
        <f>IF(C131="nee","","Welke orientatie hebben de panelen?")</f>
        <v/>
      </c>
      <c r="C146" s="137" t="s">
        <v>154</v>
      </c>
      <c r="D146" s="91"/>
      <c r="J146" s="64"/>
      <c r="K146" s="64"/>
      <c r="L146" s="64"/>
      <c r="M146" s="64"/>
      <c r="N146" s="64"/>
      <c r="O146" s="64"/>
      <c r="P146" s="64"/>
      <c r="Q146" s="64"/>
      <c r="R146" s="64"/>
      <c r="S146" s="64"/>
      <c r="T146" s="64"/>
      <c r="U146" s="64"/>
      <c r="V146" s="64"/>
      <c r="W146" s="64"/>
      <c r="X146" s="64"/>
      <c r="Y146" s="64"/>
      <c r="Z146" s="64"/>
    </row>
    <row r="147" spans="2:26" ht="15" x14ac:dyDescent="0.35">
      <c r="B147" s="79" t="s">
        <v>510</v>
      </c>
      <c r="C147" s="138">
        <v>0</v>
      </c>
      <c r="D147" s="91" t="s">
        <v>321</v>
      </c>
      <c r="J147" s="64"/>
      <c r="K147" s="64"/>
      <c r="L147" s="64"/>
      <c r="M147" s="64"/>
      <c r="N147" s="64"/>
      <c r="O147" s="64"/>
      <c r="P147" s="64"/>
      <c r="Q147" s="64"/>
      <c r="R147" s="64"/>
      <c r="S147" s="64"/>
      <c r="T147" s="64"/>
      <c r="U147" s="64"/>
      <c r="V147" s="64"/>
      <c r="W147" s="64"/>
      <c r="X147" s="64"/>
      <c r="Y147" s="64"/>
      <c r="Z147" s="64"/>
    </row>
    <row r="148" spans="2:26" ht="15" x14ac:dyDescent="0.35">
      <c r="B148" s="79" t="str">
        <f>IF(C131="nee","","Is er sprake van ventilatie achter de panelen?")</f>
        <v/>
      </c>
      <c r="C148" s="138" t="s">
        <v>146</v>
      </c>
      <c r="D148" s="91"/>
      <c r="J148" s="64"/>
      <c r="K148" s="64"/>
      <c r="L148" s="64"/>
      <c r="M148" s="64"/>
      <c r="N148" s="64"/>
      <c r="O148" s="64"/>
      <c r="P148" s="64"/>
      <c r="Q148" s="64"/>
      <c r="R148" s="64"/>
      <c r="S148" s="64"/>
      <c r="T148" s="64"/>
      <c r="U148" s="64"/>
      <c r="V148" s="64"/>
      <c r="W148" s="64"/>
      <c r="X148" s="64"/>
      <c r="Y148" s="64"/>
      <c r="Z148" s="64"/>
    </row>
    <row r="149" spans="2:26" ht="15" x14ac:dyDescent="0.35">
      <c r="B149" s="79" t="str">
        <f>IF(C131="nee","","Is er sprake van beschaduwing van de panelen?")</f>
        <v/>
      </c>
      <c r="C149" s="138" t="s">
        <v>302</v>
      </c>
      <c r="D149" s="91"/>
      <c r="J149" s="64"/>
      <c r="K149" s="143"/>
      <c r="L149" s="64"/>
      <c r="M149" s="64"/>
      <c r="N149" s="64"/>
      <c r="O149" s="64"/>
      <c r="P149" s="64"/>
      <c r="Q149" s="64"/>
      <c r="R149" s="64"/>
      <c r="S149" s="64"/>
      <c r="T149" s="64"/>
      <c r="U149" s="64"/>
      <c r="V149" s="64"/>
      <c r="W149" s="64"/>
      <c r="X149" s="64"/>
      <c r="Y149" s="64"/>
      <c r="Z149" s="64"/>
    </row>
    <row r="150" spans="2:26" ht="15" x14ac:dyDescent="0.35">
      <c r="B150" s="80" t="str">
        <f>IF(LEFT(C149,3)="zij","Wat is de relatieve breedte van de belemmering?","")</f>
        <v/>
      </c>
      <c r="C150" s="137"/>
      <c r="D150" s="91"/>
      <c r="J150" s="64"/>
      <c r="K150" s="64"/>
      <c r="L150" s="64"/>
      <c r="M150" s="64"/>
      <c r="N150" s="64"/>
      <c r="O150" s="64"/>
      <c r="P150" s="64"/>
      <c r="Q150" s="64"/>
      <c r="R150" s="64"/>
      <c r="S150" s="64"/>
      <c r="T150" s="64"/>
      <c r="U150" s="64"/>
      <c r="V150" s="64"/>
      <c r="W150" s="64"/>
      <c r="X150" s="64"/>
      <c r="Y150" s="64"/>
      <c r="Z150" s="64"/>
    </row>
    <row r="151" spans="2:26" ht="15" x14ac:dyDescent="0.35">
      <c r="B151" s="87" t="str">
        <f>IF(C131="nee","","Is er nog een PV-systeem aanwezig?")</f>
        <v/>
      </c>
      <c r="C151" s="141" t="s">
        <v>334</v>
      </c>
      <c r="D151" s="91"/>
      <c r="J151" s="64"/>
      <c r="K151" s="64"/>
      <c r="L151" s="64"/>
      <c r="M151" s="64"/>
      <c r="N151" s="64"/>
      <c r="O151" s="64"/>
      <c r="P151" s="64"/>
      <c r="Q151" s="64"/>
      <c r="R151" s="64"/>
      <c r="S151" s="64"/>
      <c r="T151" s="64"/>
      <c r="U151" s="64"/>
      <c r="V151" s="64"/>
      <c r="W151" s="64"/>
      <c r="X151" s="64"/>
      <c r="Y151" s="64"/>
      <c r="Z151" s="64"/>
    </row>
    <row r="152" spans="2:26" x14ac:dyDescent="0.3">
      <c r="B152" s="72"/>
      <c r="D152" s="73"/>
      <c r="J152" s="64"/>
      <c r="K152" s="64"/>
      <c r="L152" s="64"/>
      <c r="M152" s="64"/>
      <c r="N152" s="64"/>
      <c r="O152" s="64"/>
      <c r="P152" s="64"/>
      <c r="Q152" s="64"/>
      <c r="R152" s="64"/>
      <c r="S152" s="64"/>
      <c r="T152" s="64"/>
      <c r="U152" s="64"/>
      <c r="V152" s="64"/>
      <c r="W152" s="64"/>
      <c r="X152" s="64"/>
      <c r="Y152" s="64"/>
      <c r="Z152" s="64"/>
    </row>
    <row r="153" spans="2:26" ht="15" x14ac:dyDescent="0.35">
      <c r="B153" s="77" t="s">
        <v>322</v>
      </c>
      <c r="C153" s="77" t="str">
        <f>IF(C151="ja","Systeem 7","Geen zevende systeem")</f>
        <v>Geen zevende systeem</v>
      </c>
      <c r="D153" s="67"/>
      <c r="J153" s="64"/>
      <c r="K153" s="64"/>
      <c r="L153" s="64"/>
      <c r="M153" s="64"/>
      <c r="N153" s="64"/>
      <c r="O153" s="64"/>
      <c r="P153" s="64"/>
      <c r="Q153" s="64"/>
      <c r="R153" s="64"/>
      <c r="S153" s="64"/>
      <c r="T153" s="64"/>
      <c r="U153" s="64"/>
      <c r="V153" s="64"/>
      <c r="W153" s="64"/>
      <c r="X153" s="64"/>
      <c r="Y153" s="64"/>
      <c r="Z153" s="64"/>
    </row>
    <row r="154" spans="2:26" ht="15" x14ac:dyDescent="0.35">
      <c r="B154" s="81" t="str">
        <f>IF(C151="ja","Naam of omschrijving systeem","")</f>
        <v/>
      </c>
      <c r="C154" s="137" t="s">
        <v>526</v>
      </c>
      <c r="D154" s="89"/>
      <c r="J154" s="64"/>
      <c r="K154" s="64"/>
      <c r="L154" s="64"/>
      <c r="M154" s="64"/>
      <c r="N154" s="64"/>
      <c r="O154" s="64"/>
      <c r="P154" s="64"/>
      <c r="Q154" s="64"/>
      <c r="R154" s="64"/>
      <c r="S154" s="64"/>
      <c r="T154" s="64"/>
      <c r="U154" s="64"/>
      <c r="V154" s="64"/>
      <c r="W154" s="64"/>
      <c r="X154" s="64"/>
      <c r="Y154" s="64"/>
      <c r="Z154" s="64"/>
    </row>
    <row r="155" spans="2:26" ht="15" x14ac:dyDescent="0.35">
      <c r="B155" s="79" t="str">
        <f>IF(C151="ja","Is het een nieuw systeem of bestaand?","")</f>
        <v/>
      </c>
      <c r="C155" s="138" t="s">
        <v>299</v>
      </c>
      <c r="D155" s="89"/>
      <c r="J155" s="64"/>
      <c r="K155" s="64"/>
      <c r="L155" s="64"/>
      <c r="M155" s="64"/>
      <c r="N155" s="64"/>
      <c r="O155" s="64"/>
      <c r="P155" s="64"/>
      <c r="Q155" s="64"/>
      <c r="R155" s="64"/>
      <c r="S155" s="64"/>
      <c r="T155" s="64"/>
      <c r="U155" s="64"/>
      <c r="V155" s="64"/>
      <c r="W155" s="64"/>
      <c r="X155" s="64"/>
      <c r="Y155" s="64"/>
      <c r="Z155" s="64"/>
    </row>
    <row r="156" spans="2:26" ht="15" x14ac:dyDescent="0.35">
      <c r="B156" s="79" t="str">
        <f>IF(C151="ja",IF(C155="nieuw systeem","","Wat is het installatiejaar van de PV-panelen?"),"")</f>
        <v/>
      </c>
      <c r="C156" s="140"/>
      <c r="D156" s="90" t="str">
        <f>IF(C155="bestaand systeem","bv. 1995","")</f>
        <v/>
      </c>
      <c r="J156" s="64"/>
      <c r="K156" s="64"/>
      <c r="L156" s="64"/>
      <c r="M156" s="64"/>
      <c r="N156" s="64"/>
      <c r="O156" s="64"/>
      <c r="P156" s="64"/>
      <c r="Q156" s="64"/>
      <c r="R156" s="64"/>
      <c r="S156" s="64"/>
      <c r="T156" s="64"/>
      <c r="U156" s="64"/>
      <c r="V156" s="64"/>
      <c r="W156" s="64"/>
      <c r="X156" s="64"/>
      <c r="Y156" s="64"/>
      <c r="Z156" s="64"/>
    </row>
    <row r="157" spans="2:26" ht="15" x14ac:dyDescent="0.35">
      <c r="B157" s="85"/>
      <c r="C157" s="83"/>
      <c r="D157" s="95"/>
      <c r="J157" s="64"/>
      <c r="K157" s="64"/>
      <c r="L157" s="64"/>
      <c r="M157" s="64"/>
      <c r="N157" s="64"/>
      <c r="O157" s="64"/>
      <c r="P157" s="64"/>
      <c r="Q157" s="64"/>
      <c r="R157" s="64"/>
      <c r="S157" s="64"/>
      <c r="T157" s="64"/>
      <c r="U157" s="64"/>
      <c r="V157" s="64"/>
      <c r="W157" s="64"/>
      <c r="X157" s="64"/>
      <c r="Y157" s="64"/>
      <c r="Z157" s="64"/>
    </row>
    <row r="158" spans="2:26" ht="15" x14ac:dyDescent="0.35">
      <c r="B158" s="81" t="s">
        <v>426</v>
      </c>
      <c r="C158" s="139" t="s">
        <v>508</v>
      </c>
      <c r="D158" s="89"/>
      <c r="J158" s="64"/>
      <c r="K158" s="64"/>
      <c r="L158" s="64"/>
      <c r="M158" s="64"/>
      <c r="N158" s="64"/>
      <c r="O158" s="64"/>
      <c r="P158" s="64"/>
      <c r="Q158" s="64"/>
      <c r="R158" s="64"/>
      <c r="S158" s="64"/>
      <c r="T158" s="64"/>
      <c r="U158" s="64"/>
      <c r="V158" s="64"/>
      <c r="W158" s="64"/>
      <c r="X158" s="64"/>
      <c r="Y158" s="64"/>
      <c r="Z158" s="64"/>
    </row>
    <row r="159" spans="2:26" ht="15" x14ac:dyDescent="0.35">
      <c r="B159" s="79" t="str">
        <f>IF(C151="nee","","Welke gegevens van het PV Systeem zijn bekend?")</f>
        <v/>
      </c>
      <c r="C159" s="140" t="s">
        <v>290</v>
      </c>
      <c r="D159" s="91"/>
      <c r="J159" s="64"/>
      <c r="K159" s="64"/>
      <c r="L159" s="64"/>
      <c r="M159" s="64"/>
      <c r="N159" s="64"/>
      <c r="O159" s="64"/>
      <c r="P159" s="64"/>
      <c r="Q159" s="64"/>
      <c r="R159" s="64"/>
      <c r="S159" s="64"/>
      <c r="T159" s="64"/>
      <c r="U159" s="64"/>
      <c r="V159" s="64"/>
      <c r="W159" s="64"/>
      <c r="X159" s="64"/>
      <c r="Y159" s="64"/>
      <c r="Z159" s="64"/>
    </row>
    <row r="160" spans="2:26" ht="15" x14ac:dyDescent="0.35">
      <c r="B160" s="79" t="str" cm="1">
        <f t="array" ref="B160">IF(C151="nee","",INDEX(keuzePV,(VLOOKUP(C159,Systeemdetails,2,FALSE)+1),'Drop-down'!$M$22))</f>
        <v/>
      </c>
      <c r="C160" s="164"/>
      <c r="D160" s="91" cm="1">
        <f t="array" ref="D160">INDEX(keuzePV,(VLOOKUP(C159,Systeemdetails,2,FALSE)+1),'Drop-down'!$N$22)</f>
        <v>0</v>
      </c>
      <c r="J160" s="64"/>
      <c r="K160" s="64"/>
      <c r="L160" s="64"/>
      <c r="M160" s="64"/>
      <c r="N160" s="64"/>
      <c r="O160" s="64"/>
      <c r="P160" s="64"/>
      <c r="Q160" s="64"/>
      <c r="R160" s="64"/>
      <c r="S160" s="64"/>
      <c r="T160" s="64"/>
      <c r="U160" s="64"/>
      <c r="V160" s="64"/>
      <c r="W160" s="64"/>
      <c r="X160" s="64"/>
      <c r="Y160" s="64"/>
      <c r="Z160" s="64"/>
    </row>
    <row r="161" spans="1:26" ht="15" x14ac:dyDescent="0.35">
      <c r="B161" s="79" t="str" cm="1">
        <f t="array" ref="B161">IF(C151="nee","",INDEX(keuzePV,(VLOOKUP(C159,Systeemdetails,2,FALSE)+1),'Drop-down'!$O$22))</f>
        <v/>
      </c>
      <c r="C161" s="163"/>
      <c r="D161" s="91" cm="1">
        <f t="array" ref="D161">INDEX(keuzePV,(VLOOKUP(C159,Systeemdetails,2,FALSE)+1),'Drop-down'!$P$22)</f>
        <v>0</v>
      </c>
      <c r="J161" s="64"/>
      <c r="K161" s="64"/>
      <c r="L161" s="64"/>
      <c r="M161" s="64"/>
      <c r="N161" s="64"/>
      <c r="O161" s="64"/>
      <c r="P161" s="64"/>
      <c r="Q161" s="64"/>
      <c r="R161" s="64"/>
      <c r="S161" s="64"/>
      <c r="T161" s="64"/>
      <c r="U161" s="64"/>
      <c r="V161" s="64"/>
      <c r="W161" s="64"/>
      <c r="X161" s="64"/>
      <c r="Y161" s="64"/>
      <c r="Z161" s="64"/>
    </row>
    <row r="162" spans="1:26" ht="15" x14ac:dyDescent="0.35">
      <c r="B162" s="79" t="str" cm="1">
        <f t="array" ref="B162">IF(C151="nee","",INDEX(keuzePV,(VLOOKUP(C159,Systeemdetails,2,FALSE)+1),'Drop-down'!$Q$22))</f>
        <v/>
      </c>
      <c r="C162" s="140" t="s">
        <v>41</v>
      </c>
      <c r="D162" s="91"/>
      <c r="J162" s="64"/>
      <c r="K162" s="64"/>
      <c r="L162" s="64"/>
      <c r="M162" s="64"/>
      <c r="N162" s="64"/>
      <c r="O162" s="64"/>
      <c r="P162" s="64"/>
      <c r="Q162" s="64"/>
      <c r="R162" s="64"/>
      <c r="S162" s="64"/>
      <c r="T162" s="64"/>
      <c r="U162" s="64"/>
      <c r="V162" s="64"/>
      <c r="W162" s="64"/>
      <c r="X162" s="64"/>
      <c r="Y162" s="64"/>
      <c r="Z162" s="64"/>
    </row>
    <row r="163" spans="1:26" s="161" customFormat="1" ht="30" customHeight="1" x14ac:dyDescent="0.35">
      <c r="A163" s="155"/>
      <c r="B163" s="156">
        <f>IF(B162="Selecteer_zonnepaneeltype","Forfaitair waarde zonnepaneel",0)</f>
        <v>0</v>
      </c>
      <c r="C163" s="147">
        <f>IF(NOT(B163=0),'Drop-down'!AL8,0)</f>
        <v>0</v>
      </c>
      <c r="D163" s="157"/>
      <c r="E163" s="158"/>
      <c r="F163" s="159"/>
      <c r="G163" s="155"/>
      <c r="H163" s="155"/>
      <c r="I163" s="155"/>
      <c r="J163" s="160"/>
      <c r="K163" s="160"/>
      <c r="L163" s="160"/>
      <c r="M163" s="160"/>
      <c r="N163" s="160"/>
      <c r="O163" s="160"/>
      <c r="P163" s="160"/>
      <c r="Q163" s="160"/>
      <c r="R163" s="160"/>
      <c r="S163" s="160"/>
      <c r="T163" s="160"/>
      <c r="U163" s="160"/>
      <c r="V163" s="160"/>
      <c r="W163" s="160"/>
      <c r="X163" s="160"/>
      <c r="Y163" s="160"/>
      <c r="Z163" s="160"/>
    </row>
    <row r="164" spans="1:26" ht="15" x14ac:dyDescent="0.35">
      <c r="B164" s="86" t="str">
        <f>IF(C151="nee","","Totaal piekvermogen van systeem 7")</f>
        <v/>
      </c>
      <c r="C164" s="165" t="str">
        <f>'Drop-down'!AU8</f>
        <v>nvt</v>
      </c>
      <c r="D164" s="91" t="s">
        <v>327</v>
      </c>
      <c r="J164" s="64"/>
      <c r="K164" s="64"/>
      <c r="L164" s="64"/>
      <c r="M164" s="64"/>
      <c r="N164" s="64"/>
      <c r="O164" s="64"/>
      <c r="P164" s="64"/>
      <c r="Q164" s="64"/>
      <c r="R164" s="64"/>
      <c r="S164" s="64"/>
      <c r="T164" s="64"/>
      <c r="U164" s="64"/>
      <c r="V164" s="64"/>
      <c r="W164" s="64"/>
      <c r="X164" s="64"/>
      <c r="Y164" s="64"/>
      <c r="Z164" s="64"/>
    </row>
    <row r="165" spans="1:26" ht="15" x14ac:dyDescent="0.35">
      <c r="B165" s="93"/>
      <c r="C165" s="94"/>
      <c r="D165" s="91"/>
      <c r="J165" s="64"/>
      <c r="K165" s="64"/>
      <c r="L165" s="64"/>
      <c r="M165" s="64"/>
      <c r="N165" s="64"/>
      <c r="O165" s="64"/>
      <c r="P165" s="64"/>
      <c r="Q165" s="64"/>
      <c r="R165" s="64"/>
      <c r="S165" s="64"/>
      <c r="T165" s="64"/>
      <c r="U165" s="64"/>
      <c r="V165" s="64"/>
      <c r="W165" s="64"/>
      <c r="X165" s="64"/>
      <c r="Y165" s="64"/>
      <c r="Z165" s="64"/>
    </row>
    <row r="166" spans="1:26" ht="15" x14ac:dyDescent="0.35">
      <c r="B166" s="81" t="str">
        <f>IF(C151="nee","","Welke orientatie hebben de panelen?")</f>
        <v/>
      </c>
      <c r="C166" s="137" t="s">
        <v>154</v>
      </c>
      <c r="D166" s="91"/>
      <c r="J166" s="64"/>
      <c r="K166" s="64"/>
      <c r="L166" s="64"/>
      <c r="M166" s="64"/>
      <c r="N166" s="64"/>
      <c r="O166" s="64"/>
      <c r="P166" s="64"/>
      <c r="Q166" s="64"/>
      <c r="R166" s="64"/>
      <c r="S166" s="64"/>
      <c r="T166" s="64"/>
      <c r="U166" s="64"/>
      <c r="V166" s="64"/>
      <c r="W166" s="64"/>
      <c r="X166" s="64"/>
      <c r="Y166" s="64"/>
      <c r="Z166" s="64"/>
    </row>
    <row r="167" spans="1:26" ht="15" x14ac:dyDescent="0.35">
      <c r="B167" s="79" t="s">
        <v>510</v>
      </c>
      <c r="C167" s="138">
        <v>0</v>
      </c>
      <c r="D167" s="91" t="s">
        <v>321</v>
      </c>
      <c r="J167" s="64"/>
      <c r="K167" s="64"/>
      <c r="L167" s="64"/>
      <c r="M167" s="64"/>
      <c r="N167" s="64"/>
      <c r="O167" s="64"/>
      <c r="P167" s="64"/>
      <c r="Q167" s="64"/>
      <c r="R167" s="64"/>
      <c r="S167" s="64"/>
      <c r="T167" s="64"/>
      <c r="U167" s="64"/>
      <c r="V167" s="64"/>
      <c r="W167" s="64"/>
      <c r="X167" s="64"/>
      <c r="Y167" s="64"/>
      <c r="Z167" s="64"/>
    </row>
    <row r="168" spans="1:26" ht="15" x14ac:dyDescent="0.35">
      <c r="B168" s="79" t="str">
        <f>IF(C151="nee","","Is er sprake van ventilatie achter de panelen?")</f>
        <v/>
      </c>
      <c r="C168" s="138" t="s">
        <v>146</v>
      </c>
      <c r="D168" s="91"/>
      <c r="J168" s="64"/>
      <c r="K168" s="64"/>
      <c r="L168" s="64"/>
      <c r="M168" s="64"/>
      <c r="N168" s="64"/>
      <c r="O168" s="64"/>
      <c r="P168" s="64"/>
      <c r="Q168" s="64"/>
      <c r="R168" s="64"/>
      <c r="S168" s="64"/>
      <c r="T168" s="64"/>
      <c r="U168" s="64"/>
      <c r="V168" s="64"/>
      <c r="W168" s="64"/>
      <c r="X168" s="64"/>
      <c r="Y168" s="64"/>
      <c r="Z168" s="64"/>
    </row>
    <row r="169" spans="1:26" ht="15" x14ac:dyDescent="0.35">
      <c r="B169" s="79" t="str">
        <f>IF(C151="nee","","Is er sprake van beschaduwing van de panelen?")</f>
        <v/>
      </c>
      <c r="C169" s="138" t="s">
        <v>302</v>
      </c>
      <c r="D169" s="91"/>
      <c r="J169" s="64"/>
      <c r="K169" s="64"/>
      <c r="L169" s="64"/>
      <c r="M169" s="64"/>
      <c r="N169" s="64"/>
      <c r="O169" s="64"/>
      <c r="P169" s="64"/>
      <c r="Q169" s="64"/>
      <c r="R169" s="64"/>
      <c r="S169" s="64"/>
      <c r="T169" s="64"/>
      <c r="U169" s="64"/>
      <c r="V169" s="64"/>
      <c r="W169" s="64"/>
      <c r="X169" s="64"/>
      <c r="Y169" s="64"/>
      <c r="Z169" s="64"/>
    </row>
    <row r="170" spans="1:26" ht="15" x14ac:dyDescent="0.35">
      <c r="B170" s="80" t="str">
        <f>IF(LEFT(C169,3)="zij","Wat is de relatieve breedte van de belemmering?","")</f>
        <v/>
      </c>
      <c r="C170" s="137"/>
      <c r="D170" s="91"/>
      <c r="J170" s="64"/>
      <c r="K170" s="64"/>
      <c r="L170" s="64"/>
      <c r="M170" s="64"/>
      <c r="N170" s="64"/>
      <c r="O170" s="64"/>
      <c r="P170" s="64"/>
      <c r="Q170" s="64"/>
      <c r="R170" s="64"/>
      <c r="S170" s="64"/>
      <c r="T170" s="64"/>
      <c r="U170" s="64"/>
      <c r="V170" s="64"/>
      <c r="W170" s="64"/>
      <c r="X170" s="64"/>
      <c r="Y170" s="64"/>
      <c r="Z170" s="64"/>
    </row>
    <row r="171" spans="1:26" x14ac:dyDescent="0.3">
      <c r="J171" s="64"/>
      <c r="K171" s="64"/>
      <c r="L171" s="64"/>
      <c r="M171" s="64"/>
      <c r="N171" s="64"/>
      <c r="O171" s="64"/>
      <c r="P171" s="64"/>
      <c r="Q171" s="64"/>
      <c r="R171" s="64"/>
      <c r="S171" s="64"/>
      <c r="T171" s="64"/>
      <c r="U171" s="64"/>
      <c r="V171" s="64"/>
      <c r="W171" s="64"/>
      <c r="X171" s="64"/>
      <c r="Y171" s="64"/>
      <c r="Z171" s="64"/>
    </row>
    <row r="172" spans="1:26" x14ac:dyDescent="0.3">
      <c r="B172" s="72"/>
      <c r="D172" s="73"/>
      <c r="J172" s="64"/>
      <c r="K172" s="64"/>
      <c r="L172" s="64"/>
      <c r="M172" s="64"/>
      <c r="N172" s="64"/>
      <c r="O172" s="64"/>
      <c r="P172" s="64"/>
      <c r="Q172" s="64"/>
      <c r="R172" s="64"/>
      <c r="S172" s="64"/>
      <c r="T172" s="64"/>
      <c r="U172" s="64"/>
      <c r="V172" s="64"/>
      <c r="W172" s="64"/>
      <c r="X172" s="64"/>
      <c r="Y172" s="64"/>
      <c r="Z172" s="64"/>
    </row>
    <row r="173" spans="1:26" x14ac:dyDescent="0.3">
      <c r="F173" s="67"/>
      <c r="J173" s="64"/>
      <c r="K173" s="64"/>
      <c r="L173" s="64"/>
      <c r="M173" s="64"/>
      <c r="N173" s="64"/>
      <c r="O173" s="64"/>
      <c r="P173" s="64"/>
      <c r="Q173" s="64"/>
      <c r="R173" s="64"/>
      <c r="S173" s="64"/>
      <c r="T173" s="64"/>
      <c r="U173" s="64"/>
      <c r="V173" s="64"/>
      <c r="W173" s="64"/>
      <c r="X173" s="64"/>
      <c r="Y173" s="64"/>
      <c r="Z173" s="64"/>
    </row>
    <row r="174" spans="1:26" x14ac:dyDescent="0.3">
      <c r="F174" s="67"/>
      <c r="J174" s="64"/>
      <c r="K174" s="64"/>
      <c r="L174" s="64"/>
      <c r="M174" s="64"/>
      <c r="N174" s="64"/>
      <c r="O174" s="64"/>
      <c r="P174" s="64"/>
      <c r="Q174" s="64"/>
      <c r="R174" s="64"/>
      <c r="S174" s="64"/>
      <c r="T174" s="64"/>
      <c r="U174" s="64"/>
      <c r="V174" s="64"/>
      <c r="W174" s="64"/>
      <c r="X174" s="64"/>
      <c r="Y174" s="64"/>
      <c r="Z174" s="64"/>
    </row>
    <row r="175" spans="1:26" x14ac:dyDescent="0.3">
      <c r="B175" s="67"/>
      <c r="C175" s="67"/>
      <c r="D175" s="67"/>
      <c r="E175" s="100"/>
      <c r="F175" s="67"/>
      <c r="J175" s="64"/>
      <c r="K175" s="64"/>
      <c r="L175" s="64"/>
      <c r="M175" s="64"/>
      <c r="N175" s="64"/>
      <c r="O175" s="64"/>
      <c r="P175" s="64"/>
      <c r="Q175" s="64"/>
      <c r="R175" s="64"/>
      <c r="S175" s="64"/>
      <c r="T175" s="64"/>
      <c r="U175" s="64"/>
      <c r="V175" s="64"/>
      <c r="W175" s="64"/>
      <c r="X175" s="64"/>
      <c r="Y175" s="64"/>
      <c r="Z175" s="64"/>
    </row>
    <row r="176" spans="1:26" x14ac:dyDescent="0.3">
      <c r="B176" s="67"/>
      <c r="C176" s="67"/>
      <c r="D176" s="67"/>
      <c r="E176" s="100"/>
      <c r="F176" s="67"/>
      <c r="J176" s="64"/>
      <c r="K176" s="64"/>
      <c r="L176" s="64"/>
      <c r="M176" s="64"/>
      <c r="N176" s="64"/>
      <c r="O176" s="64"/>
      <c r="P176" s="64"/>
      <c r="Q176" s="64"/>
      <c r="R176" s="64"/>
      <c r="S176" s="64"/>
      <c r="T176" s="64"/>
      <c r="U176" s="64"/>
      <c r="V176" s="64"/>
      <c r="W176" s="64"/>
      <c r="X176" s="64"/>
      <c r="Y176" s="64"/>
      <c r="Z176" s="64"/>
    </row>
    <row r="177" spans="2:26" x14ac:dyDescent="0.3">
      <c r="B177" s="67"/>
      <c r="C177" s="67"/>
      <c r="D177" s="67"/>
      <c r="E177" s="100"/>
      <c r="F177" s="67"/>
      <c r="J177" s="64"/>
      <c r="K177" s="64"/>
      <c r="L177" s="64"/>
      <c r="M177" s="64"/>
      <c r="N177" s="64"/>
      <c r="O177" s="64"/>
      <c r="P177" s="64"/>
      <c r="Q177" s="64"/>
      <c r="R177" s="64"/>
      <c r="S177" s="64"/>
      <c r="T177" s="64"/>
      <c r="U177" s="64"/>
      <c r="V177" s="64"/>
      <c r="W177" s="64"/>
      <c r="X177" s="64"/>
      <c r="Y177" s="64"/>
      <c r="Z177" s="64"/>
    </row>
    <row r="178" spans="2:26" x14ac:dyDescent="0.3">
      <c r="B178" s="67"/>
      <c r="C178" s="67"/>
      <c r="D178" s="67"/>
      <c r="E178" s="100"/>
      <c r="F178" s="67"/>
      <c r="J178" s="64"/>
      <c r="K178" s="64"/>
      <c r="L178" s="64"/>
      <c r="M178" s="64"/>
      <c r="N178" s="64"/>
      <c r="O178" s="64"/>
      <c r="P178" s="64"/>
      <c r="Q178" s="64"/>
      <c r="R178" s="64"/>
      <c r="S178" s="64"/>
      <c r="T178" s="64"/>
      <c r="U178" s="64"/>
      <c r="V178" s="64"/>
      <c r="W178" s="64"/>
      <c r="X178" s="64"/>
      <c r="Y178" s="64"/>
      <c r="Z178" s="64"/>
    </row>
    <row r="179" spans="2:26" x14ac:dyDescent="0.3">
      <c r="B179" s="67"/>
      <c r="C179" s="67"/>
      <c r="D179" s="67"/>
      <c r="E179" s="100"/>
      <c r="F179" s="67"/>
      <c r="J179" s="64"/>
      <c r="K179" s="64"/>
      <c r="L179" s="64"/>
      <c r="M179" s="64"/>
      <c r="N179" s="64"/>
      <c r="O179" s="64"/>
      <c r="P179" s="64"/>
      <c r="Q179" s="64"/>
      <c r="R179" s="64"/>
      <c r="S179" s="64"/>
      <c r="T179" s="64"/>
      <c r="U179" s="64"/>
      <c r="V179" s="64"/>
      <c r="W179" s="64"/>
      <c r="X179" s="64"/>
      <c r="Y179" s="64"/>
      <c r="Z179" s="64"/>
    </row>
    <row r="180" spans="2:26" x14ac:dyDescent="0.3">
      <c r="B180" s="67"/>
      <c r="C180" s="67"/>
      <c r="D180" s="67"/>
      <c r="E180" s="100"/>
      <c r="F180" s="67"/>
      <c r="J180" s="64"/>
      <c r="K180" s="64"/>
      <c r="L180" s="64"/>
      <c r="M180" s="64"/>
      <c r="N180" s="64"/>
      <c r="O180" s="64"/>
      <c r="P180" s="64"/>
      <c r="Q180" s="64"/>
      <c r="R180" s="64"/>
      <c r="S180" s="64"/>
      <c r="T180" s="64"/>
      <c r="U180" s="64"/>
      <c r="V180" s="64"/>
      <c r="W180" s="64"/>
      <c r="X180" s="64"/>
      <c r="Y180" s="64"/>
      <c r="Z180" s="64"/>
    </row>
    <row r="181" spans="2:26" x14ac:dyDescent="0.3">
      <c r="B181" s="67"/>
      <c r="C181" s="67"/>
      <c r="D181" s="67"/>
      <c r="E181" s="100"/>
      <c r="F181" s="67"/>
      <c r="J181" s="64"/>
      <c r="K181" s="64"/>
      <c r="L181" s="64"/>
      <c r="M181" s="64"/>
      <c r="N181" s="64"/>
      <c r="O181" s="64"/>
      <c r="P181" s="64"/>
      <c r="Q181" s="64"/>
      <c r="R181" s="64"/>
      <c r="S181" s="64"/>
      <c r="T181" s="64"/>
      <c r="U181" s="64"/>
      <c r="V181" s="64"/>
      <c r="W181" s="64"/>
      <c r="X181" s="64"/>
      <c r="Y181" s="64"/>
      <c r="Z181" s="64"/>
    </row>
    <row r="182" spans="2:26" x14ac:dyDescent="0.3">
      <c r="B182" s="67"/>
      <c r="C182" s="67"/>
      <c r="D182" s="67"/>
      <c r="E182" s="100"/>
      <c r="F182" s="67"/>
      <c r="J182" s="64"/>
      <c r="K182" s="64"/>
      <c r="L182" s="64"/>
      <c r="M182" s="64"/>
      <c r="N182" s="64"/>
      <c r="O182" s="64"/>
      <c r="P182" s="64"/>
      <c r="Q182" s="64"/>
      <c r="R182" s="64"/>
      <c r="S182" s="64"/>
      <c r="T182" s="64"/>
      <c r="U182" s="64"/>
      <c r="V182" s="64"/>
      <c r="W182" s="64"/>
      <c r="X182" s="64"/>
      <c r="Y182" s="64"/>
      <c r="Z182" s="64"/>
    </row>
    <row r="183" spans="2:26" x14ac:dyDescent="0.3">
      <c r="B183" s="67"/>
      <c r="C183" s="67"/>
      <c r="D183" s="67"/>
      <c r="E183" s="100"/>
      <c r="F183" s="67"/>
      <c r="J183" s="64"/>
      <c r="K183" s="64"/>
      <c r="L183" s="64"/>
      <c r="M183" s="64"/>
      <c r="N183" s="64"/>
      <c r="O183" s="64"/>
      <c r="P183" s="64"/>
      <c r="Q183" s="64"/>
      <c r="R183" s="64"/>
      <c r="S183" s="64"/>
      <c r="T183" s="64"/>
      <c r="U183" s="64"/>
      <c r="V183" s="64"/>
      <c r="W183" s="64"/>
      <c r="X183" s="64"/>
      <c r="Y183" s="64"/>
      <c r="Z183" s="64"/>
    </row>
    <row r="184" spans="2:26" x14ac:dyDescent="0.3">
      <c r="B184" s="67"/>
      <c r="C184" s="67"/>
      <c r="D184" s="67"/>
      <c r="E184" s="100"/>
      <c r="F184" s="67"/>
      <c r="J184" s="64"/>
      <c r="K184" s="64"/>
      <c r="L184" s="64"/>
      <c r="M184" s="64"/>
      <c r="N184" s="64"/>
      <c r="O184" s="64"/>
      <c r="P184" s="64"/>
      <c r="Q184" s="64"/>
      <c r="R184" s="64"/>
      <c r="S184" s="64"/>
      <c r="T184" s="64"/>
      <c r="U184" s="64"/>
      <c r="V184" s="64"/>
      <c r="W184" s="64"/>
      <c r="X184" s="64"/>
      <c r="Y184" s="64"/>
      <c r="Z184" s="64"/>
    </row>
    <row r="185" spans="2:26" x14ac:dyDescent="0.3">
      <c r="B185" s="67"/>
      <c r="C185" s="67"/>
      <c r="D185" s="67"/>
      <c r="E185" s="100"/>
      <c r="F185" s="67"/>
      <c r="J185" s="64"/>
      <c r="K185" s="64"/>
      <c r="L185" s="64"/>
      <c r="M185" s="64"/>
      <c r="N185" s="64"/>
      <c r="O185" s="64"/>
      <c r="P185" s="64"/>
      <c r="Q185" s="64"/>
      <c r="R185" s="64"/>
      <c r="S185" s="64"/>
      <c r="T185" s="64"/>
      <c r="U185" s="64"/>
      <c r="V185" s="64"/>
      <c r="W185" s="64"/>
      <c r="X185" s="64"/>
      <c r="Y185" s="64"/>
      <c r="Z185" s="64"/>
    </row>
    <row r="186" spans="2:26" x14ac:dyDescent="0.3">
      <c r="B186" s="67"/>
      <c r="C186" s="67"/>
      <c r="D186" s="67"/>
      <c r="E186" s="100"/>
      <c r="F186" s="67"/>
      <c r="J186" s="64"/>
      <c r="K186" s="64"/>
      <c r="L186" s="64"/>
      <c r="M186" s="64"/>
      <c r="N186" s="64"/>
      <c r="O186" s="64"/>
      <c r="P186" s="64"/>
      <c r="Q186" s="64"/>
      <c r="R186" s="64"/>
      <c r="S186" s="64"/>
      <c r="T186" s="64"/>
      <c r="U186" s="64"/>
      <c r="V186" s="64"/>
      <c r="W186" s="64"/>
      <c r="X186" s="64"/>
      <c r="Y186" s="64"/>
      <c r="Z186" s="64"/>
    </row>
    <row r="187" spans="2:26" x14ac:dyDescent="0.3">
      <c r="J187" s="64"/>
      <c r="K187" s="64"/>
      <c r="L187" s="64"/>
      <c r="M187" s="64"/>
      <c r="N187" s="64"/>
      <c r="O187" s="64"/>
      <c r="P187" s="64"/>
      <c r="Q187" s="64"/>
      <c r="R187" s="64"/>
      <c r="S187" s="64"/>
      <c r="T187" s="64"/>
      <c r="U187" s="64"/>
      <c r="V187" s="64"/>
      <c r="W187" s="64"/>
      <c r="X187" s="64"/>
      <c r="Y187" s="64"/>
      <c r="Z187" s="64"/>
    </row>
    <row r="188" spans="2:26" x14ac:dyDescent="0.3">
      <c r="J188" s="64"/>
      <c r="K188" s="64"/>
      <c r="L188" s="64"/>
      <c r="M188" s="64"/>
      <c r="N188" s="64"/>
      <c r="O188" s="64"/>
      <c r="P188" s="64"/>
      <c r="Q188" s="64"/>
      <c r="R188" s="64"/>
      <c r="S188" s="64"/>
      <c r="T188" s="64"/>
      <c r="U188" s="64"/>
      <c r="V188" s="64"/>
      <c r="W188" s="64"/>
      <c r="X188" s="64"/>
      <c r="Y188" s="64"/>
      <c r="Z188" s="64"/>
    </row>
    <row r="189" spans="2:26" x14ac:dyDescent="0.3">
      <c r="J189" s="64"/>
      <c r="K189" s="64"/>
      <c r="L189" s="64"/>
      <c r="M189" s="64"/>
      <c r="N189" s="64"/>
      <c r="O189" s="64"/>
      <c r="P189" s="64"/>
      <c r="Q189" s="64"/>
      <c r="R189" s="64"/>
      <c r="S189" s="64"/>
      <c r="T189" s="64"/>
      <c r="U189" s="64"/>
      <c r="V189" s="64"/>
      <c r="W189" s="64"/>
      <c r="X189" s="64"/>
      <c r="Y189" s="64"/>
      <c r="Z189" s="64"/>
    </row>
    <row r="190" spans="2:26" x14ac:dyDescent="0.3">
      <c r="J190" s="64"/>
      <c r="K190" s="64"/>
      <c r="L190" s="64"/>
      <c r="M190" s="64"/>
      <c r="N190" s="64"/>
      <c r="O190" s="64"/>
      <c r="P190" s="64"/>
      <c r="Q190" s="64"/>
      <c r="R190" s="64"/>
      <c r="S190" s="64"/>
      <c r="T190" s="64"/>
      <c r="U190" s="64"/>
      <c r="V190" s="64"/>
      <c r="W190" s="64"/>
      <c r="X190" s="64"/>
      <c r="Y190" s="64"/>
      <c r="Z190" s="64"/>
    </row>
    <row r="191" spans="2:26" x14ac:dyDescent="0.3">
      <c r="J191" s="64"/>
      <c r="K191" s="64"/>
      <c r="L191" s="64"/>
      <c r="M191" s="64"/>
      <c r="N191" s="64"/>
      <c r="O191" s="64"/>
      <c r="P191" s="64"/>
      <c r="Q191" s="64"/>
      <c r="R191" s="64"/>
      <c r="S191" s="64"/>
      <c r="T191" s="64"/>
      <c r="U191" s="64"/>
      <c r="V191" s="64"/>
      <c r="W191" s="64"/>
      <c r="X191" s="64"/>
      <c r="Y191" s="64"/>
      <c r="Z191" s="64"/>
    </row>
    <row r="192" spans="2:26" x14ac:dyDescent="0.3">
      <c r="J192" s="64"/>
      <c r="K192" s="64"/>
      <c r="L192" s="64"/>
      <c r="M192" s="64"/>
      <c r="N192" s="64"/>
      <c r="O192" s="64"/>
      <c r="P192" s="64"/>
      <c r="Q192" s="64"/>
      <c r="R192" s="64"/>
      <c r="S192" s="64"/>
      <c r="T192" s="64"/>
      <c r="U192" s="64"/>
      <c r="V192" s="64"/>
      <c r="W192" s="64"/>
      <c r="X192" s="64"/>
      <c r="Y192" s="64"/>
      <c r="Z192" s="64"/>
    </row>
    <row r="193" spans="10:26" x14ac:dyDescent="0.3">
      <c r="J193" s="64"/>
      <c r="K193" s="64"/>
      <c r="L193" s="64"/>
      <c r="M193" s="64"/>
      <c r="N193" s="64"/>
      <c r="O193" s="64"/>
      <c r="P193" s="64"/>
      <c r="Q193" s="64"/>
      <c r="R193" s="64"/>
      <c r="S193" s="64"/>
      <c r="T193" s="64"/>
      <c r="U193" s="64"/>
      <c r="V193" s="64"/>
      <c r="W193" s="64"/>
      <c r="X193" s="64"/>
      <c r="Y193" s="64"/>
      <c r="Z193" s="64"/>
    </row>
    <row r="194" spans="10:26" x14ac:dyDescent="0.3">
      <c r="J194" s="64"/>
      <c r="K194" s="64"/>
      <c r="L194" s="64"/>
      <c r="M194" s="64"/>
      <c r="N194" s="64"/>
      <c r="O194" s="64"/>
      <c r="P194" s="64"/>
      <c r="Q194" s="64"/>
      <c r="R194" s="64"/>
      <c r="S194" s="64"/>
      <c r="T194" s="64"/>
      <c r="U194" s="64"/>
      <c r="V194" s="64"/>
      <c r="W194" s="64"/>
      <c r="X194" s="64"/>
      <c r="Y194" s="64"/>
      <c r="Z194" s="64"/>
    </row>
    <row r="195" spans="10:26" x14ac:dyDescent="0.3">
      <c r="J195" s="64"/>
      <c r="K195" s="64"/>
      <c r="L195" s="64"/>
      <c r="M195" s="64"/>
      <c r="N195" s="64"/>
      <c r="O195" s="64"/>
      <c r="P195" s="64"/>
      <c r="Q195" s="64"/>
      <c r="R195" s="64"/>
      <c r="S195" s="64"/>
      <c r="T195" s="64"/>
      <c r="U195" s="64"/>
      <c r="V195" s="64"/>
      <c r="W195" s="64"/>
      <c r="X195" s="64"/>
      <c r="Y195" s="64"/>
      <c r="Z195" s="64"/>
    </row>
    <row r="196" spans="10:26" x14ac:dyDescent="0.3">
      <c r="J196" s="64"/>
      <c r="K196" s="64"/>
      <c r="L196" s="64"/>
      <c r="M196" s="64"/>
      <c r="N196" s="64"/>
      <c r="O196" s="64"/>
      <c r="P196" s="64"/>
      <c r="Q196" s="64"/>
      <c r="R196" s="64"/>
      <c r="S196" s="64"/>
      <c r="T196" s="64"/>
      <c r="U196" s="64"/>
      <c r="V196" s="64"/>
      <c r="W196" s="64"/>
      <c r="X196" s="64"/>
      <c r="Y196" s="64"/>
      <c r="Z196" s="64"/>
    </row>
    <row r="197" spans="10:26" x14ac:dyDescent="0.3">
      <c r="J197" s="64"/>
      <c r="K197" s="64"/>
      <c r="L197" s="64"/>
      <c r="M197" s="64"/>
      <c r="N197" s="64"/>
      <c r="O197" s="64"/>
      <c r="P197" s="64"/>
      <c r="Q197" s="64"/>
      <c r="R197" s="64"/>
      <c r="S197" s="64"/>
      <c r="T197" s="64"/>
      <c r="U197" s="64"/>
      <c r="V197" s="64"/>
      <c r="W197" s="64"/>
      <c r="X197" s="64"/>
      <c r="Y197" s="64"/>
      <c r="Z197" s="64"/>
    </row>
    <row r="198" spans="10:26" x14ac:dyDescent="0.3">
      <c r="J198" s="64"/>
      <c r="K198" s="64"/>
      <c r="L198" s="64"/>
      <c r="M198" s="64"/>
      <c r="N198" s="64"/>
      <c r="O198" s="64"/>
      <c r="P198" s="64"/>
      <c r="Q198" s="64"/>
      <c r="R198" s="64"/>
      <c r="S198" s="64"/>
      <c r="T198" s="64"/>
      <c r="U198" s="64"/>
      <c r="V198" s="64"/>
      <c r="W198" s="64"/>
      <c r="X198" s="64"/>
      <c r="Y198" s="64"/>
      <c r="Z198" s="64"/>
    </row>
    <row r="199" spans="10:26" x14ac:dyDescent="0.3">
      <c r="J199" s="64"/>
      <c r="K199" s="64"/>
      <c r="L199" s="64"/>
      <c r="M199" s="64"/>
      <c r="N199" s="64"/>
      <c r="O199" s="64"/>
      <c r="P199" s="64"/>
      <c r="Q199" s="64"/>
      <c r="R199" s="64"/>
      <c r="S199" s="64"/>
      <c r="T199" s="64"/>
      <c r="U199" s="64"/>
      <c r="V199" s="64"/>
      <c r="W199" s="64"/>
      <c r="X199" s="64"/>
      <c r="Y199" s="64"/>
      <c r="Z199" s="64"/>
    </row>
    <row r="200" spans="10:26" x14ac:dyDescent="0.3">
      <c r="J200" s="64"/>
      <c r="K200" s="64"/>
      <c r="L200" s="64"/>
      <c r="M200" s="64"/>
      <c r="N200" s="64"/>
      <c r="O200" s="64"/>
      <c r="P200" s="64"/>
      <c r="Q200" s="64"/>
      <c r="R200" s="64"/>
      <c r="S200" s="64"/>
      <c r="T200" s="64"/>
      <c r="U200" s="64"/>
      <c r="V200" s="64"/>
      <c r="W200" s="64"/>
      <c r="X200" s="64"/>
      <c r="Y200" s="64"/>
      <c r="Z200" s="64"/>
    </row>
    <row r="201" spans="10:26" x14ac:dyDescent="0.3">
      <c r="J201" s="64"/>
      <c r="K201" s="64"/>
      <c r="L201" s="64"/>
      <c r="M201" s="64"/>
      <c r="N201" s="64"/>
      <c r="O201" s="64"/>
      <c r="P201" s="64"/>
      <c r="Q201" s="64"/>
      <c r="R201" s="64"/>
      <c r="S201" s="64"/>
      <c r="T201" s="64"/>
      <c r="U201" s="64"/>
      <c r="V201" s="64"/>
      <c r="W201" s="64"/>
      <c r="X201" s="64"/>
      <c r="Y201" s="64"/>
      <c r="Z201" s="64"/>
    </row>
    <row r="202" spans="10:26" x14ac:dyDescent="0.3">
      <c r="J202" s="64"/>
      <c r="K202" s="64"/>
      <c r="L202" s="64"/>
      <c r="M202" s="64"/>
      <c r="N202" s="64"/>
      <c r="O202" s="64"/>
      <c r="P202" s="64"/>
      <c r="Q202" s="64"/>
      <c r="R202" s="64"/>
      <c r="S202" s="64"/>
      <c r="T202" s="64"/>
      <c r="U202" s="64"/>
      <c r="V202" s="64"/>
      <c r="W202" s="64"/>
      <c r="X202" s="64"/>
      <c r="Y202" s="64"/>
      <c r="Z202" s="64"/>
    </row>
    <row r="203" spans="10:26" x14ac:dyDescent="0.3">
      <c r="J203" s="64"/>
      <c r="K203" s="64"/>
      <c r="L203" s="64"/>
      <c r="M203" s="64"/>
      <c r="N203" s="64"/>
      <c r="O203" s="64"/>
      <c r="P203" s="64"/>
      <c r="Q203" s="64"/>
      <c r="R203" s="64"/>
      <c r="S203" s="64"/>
      <c r="T203" s="64"/>
      <c r="U203" s="64"/>
      <c r="V203" s="64"/>
      <c r="W203" s="64"/>
      <c r="X203" s="64"/>
      <c r="Y203" s="64"/>
      <c r="Z203" s="64"/>
    </row>
    <row r="204" spans="10:26" x14ac:dyDescent="0.3">
      <c r="J204" s="64"/>
      <c r="K204" s="64"/>
      <c r="L204" s="64"/>
      <c r="M204" s="64"/>
      <c r="N204" s="64"/>
      <c r="O204" s="64"/>
      <c r="P204" s="64"/>
      <c r="Q204" s="64"/>
      <c r="R204" s="64"/>
      <c r="S204" s="64"/>
      <c r="T204" s="64"/>
      <c r="U204" s="64"/>
      <c r="V204" s="64"/>
      <c r="W204" s="64"/>
      <c r="X204" s="64"/>
      <c r="Y204" s="64"/>
      <c r="Z204" s="64"/>
    </row>
    <row r="205" spans="10:26" x14ac:dyDescent="0.3">
      <c r="J205" s="64"/>
      <c r="K205" s="64"/>
      <c r="L205" s="64"/>
      <c r="M205" s="64"/>
      <c r="N205" s="64"/>
      <c r="O205" s="64"/>
      <c r="P205" s="64"/>
      <c r="Q205" s="64"/>
      <c r="R205" s="64"/>
      <c r="S205" s="64"/>
      <c r="T205" s="64"/>
      <c r="U205" s="64"/>
      <c r="V205" s="64"/>
      <c r="W205" s="64"/>
      <c r="X205" s="64"/>
      <c r="Y205" s="64"/>
      <c r="Z205" s="64"/>
    </row>
    <row r="233" spans="13:25" x14ac:dyDescent="0.3">
      <c r="M233" s="70"/>
      <c r="N233" s="70"/>
      <c r="O233" s="70"/>
      <c r="P233" s="70"/>
      <c r="Q233" s="70"/>
      <c r="R233" s="70"/>
      <c r="S233" s="70"/>
      <c r="T233" s="70"/>
      <c r="U233" s="70"/>
      <c r="V233" s="70"/>
      <c r="W233" s="70"/>
      <c r="X233" s="70"/>
      <c r="Y233" s="70"/>
    </row>
  </sheetData>
  <sheetProtection algorithmName="SHA-512" hashValue="PSmHAH/ZJDBeJgFprckmqlO2Sb5efqLcZt7jLAFucI7aJ/09Q3r9O3sdRhNYlYGA8S8wPwNTMDT3FbO++ajMoQ==" saltValue="WJpXJ2FUjuKb+Nmztbk0cQ==" spinCount="100000" sheet="1" objects="1" scenarios="1" selectLockedCells="1"/>
  <mergeCells count="15">
    <mergeCell ref="C14:D14"/>
    <mergeCell ref="C6:D6"/>
    <mergeCell ref="C7:D7"/>
    <mergeCell ref="C8:D8"/>
    <mergeCell ref="C9:D9"/>
    <mergeCell ref="C13:D13"/>
    <mergeCell ref="C11:D11"/>
    <mergeCell ref="C10:D10"/>
    <mergeCell ref="C15:D15"/>
    <mergeCell ref="C16:D16"/>
    <mergeCell ref="C17:D17"/>
    <mergeCell ref="B27:C27"/>
    <mergeCell ref="B24:C24"/>
    <mergeCell ref="C18:D18"/>
    <mergeCell ref="C19:D19"/>
  </mergeCells>
  <conditionalFormatting sqref="B40:B41 D40:D41">
    <cfRule type="cellIs" dxfId="163" priority="590" operator="equal">
      <formula>0</formula>
    </cfRule>
  </conditionalFormatting>
  <conditionalFormatting sqref="C40">
    <cfRule type="expression" dxfId="162" priority="587">
      <formula>IF(NOT(D40=0),TRUE,FALSE)</formula>
    </cfRule>
  </conditionalFormatting>
  <conditionalFormatting sqref="C42">
    <cfRule type="expression" dxfId="161" priority="149">
      <formula>IF(LEFT(C39,11)="Ik weet het",TRUE,FALSE)</formula>
    </cfRule>
    <cfRule type="expression" dxfId="160" priority="565">
      <formula>IF($B$42="selecteer_zonnepaneeltype",TRUE,FALSE)</formula>
    </cfRule>
    <cfRule type="expression" dxfId="159" priority="580">
      <formula>IF(NOT(B$42=0),TRUE,FALSE)</formula>
    </cfRule>
  </conditionalFormatting>
  <conditionalFormatting sqref="C41">
    <cfRule type="expression" dxfId="158" priority="581">
      <formula>IF(NOT(D41=0),TRUE,FALSE)</formula>
    </cfRule>
  </conditionalFormatting>
  <conditionalFormatting sqref="B42:C43">
    <cfRule type="cellIs" dxfId="157" priority="569" operator="equal">
      <formula>0</formula>
    </cfRule>
  </conditionalFormatting>
  <conditionalFormatting sqref="C28">
    <cfRule type="cellIs" dxfId="156" priority="229" operator="equal">
      <formula>"vul gebruiks- en dakoppervlak in"</formula>
    </cfRule>
  </conditionalFormatting>
  <conditionalFormatting sqref="D56">
    <cfRule type="expression" dxfId="155" priority="226">
      <formula>IF(D55="bestaand systeem",TRUE,FALSE)</formula>
    </cfRule>
  </conditionalFormatting>
  <conditionalFormatting sqref="B60:B61 D61">
    <cfRule type="cellIs" dxfId="154" priority="225" operator="equal">
      <formula>0</formula>
    </cfRule>
  </conditionalFormatting>
  <conditionalFormatting sqref="C60">
    <cfRule type="expression" dxfId="153" priority="224">
      <formula>IF(NOT(D60=0),TRUE,FALSE)</formula>
    </cfRule>
  </conditionalFormatting>
  <conditionalFormatting sqref="C61">
    <cfRule type="expression" dxfId="152" priority="223">
      <formula>IF(NOT(D61=0),TRUE,FALSE)</formula>
    </cfRule>
  </conditionalFormatting>
  <conditionalFormatting sqref="B62:B63">
    <cfRule type="cellIs" dxfId="151" priority="221" operator="equal">
      <formula>0</formula>
    </cfRule>
  </conditionalFormatting>
  <conditionalFormatting sqref="B54:E55 B71:E71 D70:E70 B57:E57 B56 D56:E56 B68:E69 C67:E67 B59:E66 B58 D58:E58">
    <cfRule type="expression" dxfId="150" priority="120">
      <formula>IF($C$51="nee",TRUE,FALSE)</formula>
    </cfRule>
  </conditionalFormatting>
  <conditionalFormatting sqref="D76">
    <cfRule type="expression" dxfId="149" priority="216">
      <formula>IF(D75="bestaand systeem",TRUE,FALSE)</formula>
    </cfRule>
  </conditionalFormatting>
  <conditionalFormatting sqref="B80:B81 D80:D81">
    <cfRule type="cellIs" dxfId="148" priority="215" operator="equal">
      <formula>0</formula>
    </cfRule>
  </conditionalFormatting>
  <conditionalFormatting sqref="C80">
    <cfRule type="expression" dxfId="147" priority="214">
      <formula>IF(NOT(D80=0),TRUE,FALSE)</formula>
    </cfRule>
  </conditionalFormatting>
  <conditionalFormatting sqref="C81">
    <cfRule type="expression" dxfId="146" priority="213">
      <formula>IF(NOT(D81=0),TRUE,FALSE)</formula>
    </cfRule>
  </conditionalFormatting>
  <conditionalFormatting sqref="B82:B83">
    <cfRule type="cellIs" dxfId="145" priority="211" operator="equal">
      <formula>0</formula>
    </cfRule>
  </conditionalFormatting>
  <conditionalFormatting sqref="D96">
    <cfRule type="expression" dxfId="144" priority="205">
      <formula>IF(D95="bestaand systeem",TRUE,FALSE)</formula>
    </cfRule>
  </conditionalFormatting>
  <conditionalFormatting sqref="B100:B101 D100:D101">
    <cfRule type="cellIs" dxfId="143" priority="204" operator="equal">
      <formula>0</formula>
    </cfRule>
  </conditionalFormatting>
  <conditionalFormatting sqref="C100">
    <cfRule type="expression" dxfId="142" priority="203">
      <formula>IF(NOT(D100=0),TRUE,FALSE)</formula>
    </cfRule>
  </conditionalFormatting>
  <conditionalFormatting sqref="C101">
    <cfRule type="expression" dxfId="141" priority="202">
      <formula>IF(NOT(D101=0),TRUE,FALSE)</formula>
    </cfRule>
  </conditionalFormatting>
  <conditionalFormatting sqref="B103:C103 B102">
    <cfRule type="cellIs" dxfId="140" priority="200" operator="equal">
      <formula>0</formula>
    </cfRule>
  </conditionalFormatting>
  <conditionalFormatting sqref="B94:D94 B100:D101 B99 D99 B95:B96 B111:D111 B106 B103:D105 B102 D102 D106:D110 D95:D96 B108:B109">
    <cfRule type="expression" dxfId="139" priority="198">
      <formula>IF($C$91="nee",TRUE,FALSE)</formula>
    </cfRule>
  </conditionalFormatting>
  <conditionalFormatting sqref="D116">
    <cfRule type="expression" dxfId="138" priority="195">
      <formula>IF(D115="bestaand systeem",TRUE,FALSE)</formula>
    </cfRule>
  </conditionalFormatting>
  <conditionalFormatting sqref="B120:B121 D120:D121">
    <cfRule type="cellIs" dxfId="137" priority="194" operator="equal">
      <formula>0</formula>
    </cfRule>
  </conditionalFormatting>
  <conditionalFormatting sqref="C120">
    <cfRule type="expression" dxfId="136" priority="193">
      <formula>IF(NOT(D120=0),TRUE,FALSE)</formula>
    </cfRule>
  </conditionalFormatting>
  <conditionalFormatting sqref="C121">
    <cfRule type="expression" dxfId="135" priority="192">
      <formula>IF(NOT(D121=0),TRUE,FALSE)</formula>
    </cfRule>
  </conditionalFormatting>
  <conditionalFormatting sqref="B122:B123">
    <cfRule type="cellIs" dxfId="134" priority="190" operator="equal">
      <formula>0</formula>
    </cfRule>
  </conditionalFormatting>
  <conditionalFormatting sqref="B114:D114 B120:D121 B119 D119 B115:B116 B131:D131 B126 B124:D125 B122:B123 D122:D123 D126:D130 D115:D116 B128:B129">
    <cfRule type="expression" dxfId="133" priority="133">
      <formula>IF($C$111="nee",TRUE,FALSE)</formula>
    </cfRule>
  </conditionalFormatting>
  <conditionalFormatting sqref="D136">
    <cfRule type="expression" dxfId="132" priority="185">
      <formula>IF(D135="bestaand systeem",TRUE,FALSE)</formula>
    </cfRule>
  </conditionalFormatting>
  <conditionalFormatting sqref="B140:B141 D140">
    <cfRule type="cellIs" dxfId="131" priority="184" operator="equal">
      <formula>0</formula>
    </cfRule>
  </conditionalFormatting>
  <conditionalFormatting sqref="C140">
    <cfRule type="expression" dxfId="130" priority="183">
      <formula>IF(NOT(D140=0),TRUE,FALSE)</formula>
    </cfRule>
  </conditionalFormatting>
  <conditionalFormatting sqref="B143:C143 B142">
    <cfRule type="cellIs" dxfId="129" priority="180" operator="equal">
      <formula>0</formula>
    </cfRule>
  </conditionalFormatting>
  <conditionalFormatting sqref="B134:D134 B140:D140 B139 D139 B135:B136 B151:D151 B146 B143:D145 B141:B142 D142 D146:D150 D135:D136 B148:B149">
    <cfRule type="expression" dxfId="128" priority="178">
      <formula>IF($C$131="nee",TRUE,FALSE)</formula>
    </cfRule>
  </conditionalFormatting>
  <conditionalFormatting sqref="C156">
    <cfRule type="expression" dxfId="127" priority="125">
      <formula>IF(C155="bestaand systeem",TRUE,FALSE)</formula>
    </cfRule>
    <cfRule type="expression" dxfId="126" priority="126">
      <formula>IF(C155="nieuw systeem",TRUE,FALSE)</formula>
    </cfRule>
  </conditionalFormatting>
  <conditionalFormatting sqref="D156">
    <cfRule type="expression" dxfId="125" priority="175">
      <formula>IF(D155="bestaand systeem",TRUE,FALSE)</formula>
    </cfRule>
  </conditionalFormatting>
  <conditionalFormatting sqref="B160:B161 D160:D161">
    <cfRule type="cellIs" dxfId="124" priority="174" operator="equal">
      <formula>0</formula>
    </cfRule>
  </conditionalFormatting>
  <conditionalFormatting sqref="C160">
    <cfRule type="expression" dxfId="123" priority="173">
      <formula>IF(NOT(D160=0),TRUE,FALSE)</formula>
    </cfRule>
  </conditionalFormatting>
  <conditionalFormatting sqref="C161">
    <cfRule type="expression" dxfId="122" priority="172">
      <formula>IF(NOT(D161=0),TRUE,FALSE)</formula>
    </cfRule>
  </conditionalFormatting>
  <conditionalFormatting sqref="B162:B163">
    <cfRule type="cellIs" dxfId="121" priority="170" operator="equal">
      <formula>0</formula>
    </cfRule>
  </conditionalFormatting>
  <conditionalFormatting sqref="B154:D154 B160:D161 B159 D159 B156:D156 B155 D155 B171:D171 B166 B164:D165 B162:B163 D162:D163 D166:D170 B168:B169">
    <cfRule type="expression" dxfId="120" priority="98">
      <formula>IF($C$151="nee",TRUE,FALSE)</formula>
    </cfRule>
  </conditionalFormatting>
  <conditionalFormatting sqref="C63">
    <cfRule type="cellIs" dxfId="119" priority="167" operator="equal">
      <formula>0</formula>
    </cfRule>
  </conditionalFormatting>
  <conditionalFormatting sqref="B62 D62 B61:D61 B60:C60 B63:D66 B55:D55 D70 B57:D57 B56 D56 B68:D69 C67:D67 B59:D59 B58 D58">
    <cfRule type="expression" dxfId="118" priority="166">
      <formula>IF($C$51="nee",TRUE,FALSE)</formula>
    </cfRule>
  </conditionalFormatting>
  <conditionalFormatting sqref="B94:E95 D110:E110 B97:E97 B96 D96:E96 B108:E109 C107:E107 B99:E106 B98 D98:E98">
    <cfRule type="expression" dxfId="117" priority="137">
      <formula>IF($C$91="nee",TRUE,FALSE)</formula>
    </cfRule>
  </conditionalFormatting>
  <conditionalFormatting sqref="B115:E115 B131:E131 D130:E130 B117:E117 B116 D116:E116 B128:E129 C127:E127 B119:E126 B118 D118:E118">
    <cfRule type="expression" dxfId="116" priority="134">
      <formula>IF($C$111="nee",TRUE,FALSE)</formula>
    </cfRule>
  </conditionalFormatting>
  <conditionalFormatting sqref="B134:E135 B152:F152 D150:E150 B137:E137 B136 D136:E136 B151:E151 B148:E149 C147:E147 B139:E146 B138 D138:E138">
    <cfRule type="expression" dxfId="115" priority="123">
      <formula>IF($C$131="nee",TRUE,FALSE)</formula>
    </cfRule>
  </conditionalFormatting>
  <conditionalFormatting sqref="B154:E157 D170:E170 B168:E169 C167:E167 B159:E166 B158 D158:E158">
    <cfRule type="expression" dxfId="114" priority="127">
      <formula>IF($C$151="nee",TRUE,FALSE)</formula>
    </cfRule>
  </conditionalFormatting>
  <conditionalFormatting sqref="C83">
    <cfRule type="cellIs" dxfId="113" priority="160" operator="equal">
      <formula>0</formula>
    </cfRule>
  </conditionalFormatting>
  <conditionalFormatting sqref="C83">
    <cfRule type="expression" dxfId="112" priority="159">
      <formula>IF($C$71="nee",TRUE,FALSE)</formula>
    </cfRule>
  </conditionalFormatting>
  <conditionalFormatting sqref="C123">
    <cfRule type="cellIs" dxfId="111" priority="188" operator="equal">
      <formula>0</formula>
    </cfRule>
  </conditionalFormatting>
  <conditionalFormatting sqref="C123">
    <cfRule type="expression" dxfId="110" priority="163">
      <formula>IF($C$91="nee",TRUE,FALSE)</formula>
    </cfRule>
  </conditionalFormatting>
  <conditionalFormatting sqref="C123">
    <cfRule type="expression" dxfId="109" priority="158">
      <formula>IF($C$91="nee",TRUE,FALSE)</formula>
    </cfRule>
  </conditionalFormatting>
  <conditionalFormatting sqref="C163">
    <cfRule type="cellIs" dxfId="108" priority="161" operator="equal">
      <formula>0</formula>
    </cfRule>
  </conditionalFormatting>
  <conditionalFormatting sqref="C163">
    <cfRule type="expression" dxfId="107" priority="152">
      <formula>IF($C$151="nee",TRUE,FALSE)</formula>
    </cfRule>
  </conditionalFormatting>
  <conditionalFormatting sqref="C163">
    <cfRule type="expression" dxfId="106" priority="151">
      <formula>IF($C$151="nee",TRUE,FALSE)</formula>
    </cfRule>
  </conditionalFormatting>
  <conditionalFormatting sqref="C62">
    <cfRule type="expression" dxfId="105" priority="145">
      <formula>IF(LEFT(C59,11)="Ik weet het",TRUE,FALSE)</formula>
    </cfRule>
    <cfRule type="expression" dxfId="104" priority="146">
      <formula>IF($B$62="selecteer_zonnepaneeltype",TRUE,FALSE)</formula>
    </cfRule>
    <cfRule type="expression" dxfId="103" priority="148">
      <formula>IF(NOT(B$62=0),TRUE,FALSE)</formula>
    </cfRule>
  </conditionalFormatting>
  <conditionalFormatting sqref="C62">
    <cfRule type="cellIs" dxfId="102" priority="147" operator="equal">
      <formula>0</formula>
    </cfRule>
  </conditionalFormatting>
  <conditionalFormatting sqref="C82">
    <cfRule type="expression" dxfId="101" priority="143">
      <formula>IF(LEFT(C79,11)="Ik weet het",TRUE,FALSE)</formula>
    </cfRule>
    <cfRule type="expression" dxfId="100" priority="144">
      <formula>IF($B$82="selecteer_zonnepaneeltype",TRUE,FALSE)</formula>
    </cfRule>
    <cfRule type="expression" dxfId="99" priority="209">
      <formula>IF(NOT(B$82=0),TRUE,FALSE)</formula>
    </cfRule>
  </conditionalFormatting>
  <conditionalFormatting sqref="C82">
    <cfRule type="cellIs" dxfId="98" priority="165" operator="equal">
      <formula>0</formula>
    </cfRule>
  </conditionalFormatting>
  <conditionalFormatting sqref="C102">
    <cfRule type="expression" dxfId="97" priority="138">
      <formula>IF(LEFT(C99,11)="Ik weet het",TRUE,FALSE)</formula>
    </cfRule>
    <cfRule type="expression" dxfId="96" priority="139">
      <formula>IF($B$102="selecteer_zonnepaneeltype",TRUE,FALSE)</formula>
    </cfRule>
    <cfRule type="expression" dxfId="95" priority="164">
      <formula>IF(NOT(B$102=0),TRUE,FALSE)</formula>
    </cfRule>
  </conditionalFormatting>
  <conditionalFormatting sqref="C102">
    <cfRule type="cellIs" dxfId="94" priority="140" operator="equal">
      <formula>0</formula>
    </cfRule>
  </conditionalFormatting>
  <conditionalFormatting sqref="C122">
    <cfRule type="expression" dxfId="93" priority="135">
      <formula>IF(LEFT(C119,11)="Ik weet het",TRUE,FALSE)</formula>
    </cfRule>
    <cfRule type="expression" dxfId="92" priority="136">
      <formula>IF($B$122="selecteer_zonnepaneeltype",TRUE,FALSE)</formula>
    </cfRule>
    <cfRule type="expression" dxfId="91" priority="157">
      <formula>IF(NOT(B$122=0),TRUE,FALSE)</formula>
    </cfRule>
  </conditionalFormatting>
  <conditionalFormatting sqref="C122">
    <cfRule type="cellIs" dxfId="90" priority="156" operator="equal">
      <formula>0</formula>
    </cfRule>
  </conditionalFormatting>
  <conditionalFormatting sqref="C142">
    <cfRule type="expression" dxfId="89" priority="130">
      <formula>IF(LEFT(C139,11)="Ik weet het",TRUE,FALSE)</formula>
    </cfRule>
    <cfRule type="expression" dxfId="88" priority="131">
      <formula>IF($B$142="selecteer_zonnepaneeltype",TRUE,FALSE)</formula>
    </cfRule>
    <cfRule type="expression" dxfId="87" priority="162">
      <formula>IF(NOT(B$142=0),TRUE,FALSE)</formula>
    </cfRule>
  </conditionalFormatting>
  <conditionalFormatting sqref="C142">
    <cfRule type="cellIs" dxfId="86" priority="132" operator="equal">
      <formula>0</formula>
    </cfRule>
  </conditionalFormatting>
  <conditionalFormatting sqref="C162">
    <cfRule type="expression" dxfId="85" priority="128">
      <formula>IF(LEFT(C159,11)="Ik weet het",TRUE,FALSE)</formula>
    </cfRule>
    <cfRule type="expression" dxfId="84" priority="150">
      <formula>IF($B$162="selecteer_zonnepaneeltype",TRUE,FALSE)</formula>
    </cfRule>
    <cfRule type="expression" dxfId="83" priority="176">
      <formula>IF(NOT(B$162=0),TRUE,FALSE)</formula>
    </cfRule>
  </conditionalFormatting>
  <conditionalFormatting sqref="C162">
    <cfRule type="cellIs" dxfId="82" priority="168" operator="equal">
      <formula>0</formula>
    </cfRule>
  </conditionalFormatting>
  <conditionalFormatting sqref="C141">
    <cfRule type="expression" dxfId="81" priority="129">
      <formula>IF(NOT(D141=0),TRUE,FALSE)</formula>
    </cfRule>
  </conditionalFormatting>
  <conditionalFormatting sqref="C141">
    <cfRule type="expression" dxfId="80" priority="122">
      <formula>IF($C$111="nee",TRUE,FALSE)</formula>
    </cfRule>
  </conditionalFormatting>
  <conditionalFormatting sqref="C141">
    <cfRule type="expression" dxfId="79" priority="121">
      <formula>IF($C$111="nee",TRUE,FALSE)</formula>
    </cfRule>
  </conditionalFormatting>
  <conditionalFormatting sqref="D60">
    <cfRule type="cellIs" dxfId="78" priority="219" operator="equal">
      <formula>0</formula>
    </cfRule>
  </conditionalFormatting>
  <conditionalFormatting sqref="D141">
    <cfRule type="cellIs" dxfId="77" priority="119" operator="equal">
      <formula>0</formula>
    </cfRule>
  </conditionalFormatting>
  <conditionalFormatting sqref="D141">
    <cfRule type="expression" dxfId="76" priority="118">
      <formula>IF($C$151="nee",TRUE,FALSE)</formula>
    </cfRule>
  </conditionalFormatting>
  <conditionalFormatting sqref="D141">
    <cfRule type="expression" dxfId="75" priority="117">
      <formula>IF($C$151="nee",TRUE,FALSE)</formula>
    </cfRule>
  </conditionalFormatting>
  <conditionalFormatting sqref="B74:E75 B91:E91 D90:E90 B77:E77 B76 D76:E76 B88:E89 C87:E87 B79:E86 B78 D78:E78">
    <cfRule type="expression" dxfId="74" priority="141">
      <formula>IF($C$71="nee",TRUE,FALSE)</formula>
    </cfRule>
    <cfRule type="expression" dxfId="73" priority="142">
      <formula>IF($C$71="nee",TRUE,FALSE)</formula>
    </cfRule>
  </conditionalFormatting>
  <conditionalFormatting sqref="C31">
    <cfRule type="cellIs" dxfId="72" priority="592" operator="equal">
      <formula>"nee"</formula>
    </cfRule>
    <cfRule type="cellIs" dxfId="71" priority="593" operator="equal">
      <formula>"ja"</formula>
    </cfRule>
  </conditionalFormatting>
  <conditionalFormatting sqref="B36">
    <cfRule type="expression" dxfId="70" priority="67">
      <formula>IF(C35="nieuw systeem",TRUE,FALSE)</formula>
    </cfRule>
  </conditionalFormatting>
  <conditionalFormatting sqref="C50">
    <cfRule type="expression" dxfId="69" priority="106">
      <formula>LEFT(C49,3)&lt;&gt;"zij"</formula>
    </cfRule>
  </conditionalFormatting>
  <conditionalFormatting sqref="C136">
    <cfRule type="expression" dxfId="68" priority="95">
      <formula>IF(C135="bestaand systeem",TRUE,FALSE)</formula>
    </cfRule>
    <cfRule type="expression" dxfId="67" priority="96">
      <formula>IF(C135="nieuw systeem",TRUE,FALSE)</formula>
    </cfRule>
  </conditionalFormatting>
  <conditionalFormatting sqref="C136">
    <cfRule type="expression" dxfId="66" priority="94">
      <formula>IF($C$131="nee",TRUE,FALSE)</formula>
    </cfRule>
  </conditionalFormatting>
  <conditionalFormatting sqref="C136">
    <cfRule type="expression" dxfId="65" priority="97">
      <formula>IF($C$151="nee",TRUE,FALSE)</formula>
    </cfRule>
  </conditionalFormatting>
  <conditionalFormatting sqref="C116">
    <cfRule type="expression" dxfId="64" priority="91">
      <formula>IF(C115="bestaand systeem",TRUE,FALSE)</formula>
    </cfRule>
    <cfRule type="expression" dxfId="63" priority="92">
      <formula>IF(C115="nieuw systeem",TRUE,FALSE)</formula>
    </cfRule>
  </conditionalFormatting>
  <conditionalFormatting sqref="C116">
    <cfRule type="expression" dxfId="62" priority="90">
      <formula>IF($C$111="nee",TRUE,FALSE)</formula>
    </cfRule>
  </conditionalFormatting>
  <conditionalFormatting sqref="C116">
    <cfRule type="expression" dxfId="61" priority="93">
      <formula>IF($C$151="nee",TRUE,FALSE)</formula>
    </cfRule>
  </conditionalFormatting>
  <conditionalFormatting sqref="C96">
    <cfRule type="expression" dxfId="60" priority="87">
      <formula>IF(C95="bestaand systeem",TRUE,FALSE)</formula>
    </cfRule>
    <cfRule type="expression" dxfId="59" priority="88">
      <formula>IF(C95="nieuw systeem",TRUE,FALSE)</formula>
    </cfRule>
  </conditionalFormatting>
  <conditionalFormatting sqref="C96">
    <cfRule type="expression" dxfId="58" priority="86">
      <formula>IF($C$91="nee",TRUE,FALSE)</formula>
    </cfRule>
  </conditionalFormatting>
  <conditionalFormatting sqref="C96">
    <cfRule type="expression" dxfId="57" priority="89">
      <formula>IF($C$151="nee",TRUE,FALSE)</formula>
    </cfRule>
  </conditionalFormatting>
  <conditionalFormatting sqref="C76">
    <cfRule type="expression" dxfId="56" priority="83">
      <formula>IF(C75="bestaand systeem",TRUE,FALSE)</formula>
    </cfRule>
    <cfRule type="expression" dxfId="55" priority="84">
      <formula>IF(C75="nieuw systeem",TRUE,FALSE)</formula>
    </cfRule>
  </conditionalFormatting>
  <conditionalFormatting sqref="C76">
    <cfRule type="expression" dxfId="54" priority="82">
      <formula>IF($C$71="nee",TRUE,FALSE)</formula>
    </cfRule>
  </conditionalFormatting>
  <conditionalFormatting sqref="C76">
    <cfRule type="expression" dxfId="53" priority="85">
      <formula>IF($C$151="nee",TRUE,FALSE)</formula>
    </cfRule>
  </conditionalFormatting>
  <conditionalFormatting sqref="C56">
    <cfRule type="expression" dxfId="52" priority="79">
      <formula>IF(C55="bestaand systeem",TRUE,FALSE)</formula>
    </cfRule>
    <cfRule type="expression" dxfId="51" priority="80">
      <formula>IF(C55="nieuw systeem",TRUE,FALSE)</formula>
    </cfRule>
  </conditionalFormatting>
  <conditionalFormatting sqref="C56">
    <cfRule type="expression" dxfId="50" priority="78">
      <formula>IF($C$51="nee",TRUE,FALSE)</formula>
    </cfRule>
  </conditionalFormatting>
  <conditionalFormatting sqref="C56">
    <cfRule type="expression" dxfId="49" priority="81">
      <formula>IF($C$151="nee",TRUE,FALSE)</formula>
    </cfRule>
  </conditionalFormatting>
  <conditionalFormatting sqref="F2">
    <cfRule type="cellIs" dxfId="48" priority="72" operator="equal">
      <formula>"nee"</formula>
    </cfRule>
    <cfRule type="cellIs" dxfId="47" priority="73" operator="equal">
      <formula>"ja"</formula>
    </cfRule>
  </conditionalFormatting>
  <conditionalFormatting sqref="C36">
    <cfRule type="expression" dxfId="46" priority="64">
      <formula>IF(C35="bestaand systeem",TRUE,FALSE)</formula>
    </cfRule>
  </conditionalFormatting>
  <conditionalFormatting sqref="C36">
    <cfRule type="expression" dxfId="45" priority="63">
      <formula>IF(C35="nieuw systeem",TRUE,FALSE)</formula>
    </cfRule>
  </conditionalFormatting>
  <conditionalFormatting sqref="D36">
    <cfRule type="expression" dxfId="44" priority="56">
      <formula>IF(C35="nieuw systeem",TRUE,FALSE)</formula>
    </cfRule>
    <cfRule type="expression" dxfId="43" priority="61">
      <formula>IF(D35="bestaand systeem",TRUE,FALSE)</formula>
    </cfRule>
  </conditionalFormatting>
  <conditionalFormatting sqref="C58">
    <cfRule type="expression" dxfId="42" priority="49">
      <formula>IF(C51="nee",TRUE,FALSE)</formula>
    </cfRule>
  </conditionalFormatting>
  <conditionalFormatting sqref="C78">
    <cfRule type="expression" dxfId="41" priority="48">
      <formula>IF(C71="nee",TRUE,FALSE)</formula>
    </cfRule>
  </conditionalFormatting>
  <conditionalFormatting sqref="C98">
    <cfRule type="expression" dxfId="40" priority="47">
      <formula>IF(C91="nee",TRUE,FALSE)</formula>
    </cfRule>
  </conditionalFormatting>
  <conditionalFormatting sqref="C118">
    <cfRule type="expression" dxfId="39" priority="46">
      <formula>IF(C111="nee",TRUE,FALSE)</formula>
    </cfRule>
  </conditionalFormatting>
  <conditionalFormatting sqref="C138">
    <cfRule type="expression" dxfId="38" priority="45">
      <formula>IF(C131="nee",TRUE,FALSE)</formula>
    </cfRule>
  </conditionalFormatting>
  <conditionalFormatting sqref="C158">
    <cfRule type="expression" dxfId="37" priority="44">
      <formula>IF(C151="nee",TRUE,FALSE)</formula>
    </cfRule>
  </conditionalFormatting>
  <conditionalFormatting sqref="B147">
    <cfRule type="expression" dxfId="36" priority="41">
      <formula>IF(C131="nee",TRUE,FALSE)</formula>
    </cfRule>
  </conditionalFormatting>
  <conditionalFormatting sqref="B167">
    <cfRule type="expression" dxfId="35" priority="43">
      <formula>IF(C151="nee",TRUE,FALSE)</formula>
    </cfRule>
  </conditionalFormatting>
  <conditionalFormatting sqref="B127">
    <cfRule type="expression" dxfId="34" priority="40">
      <formula>IF(C111="nee",TRUE,FALSE)</formula>
    </cfRule>
  </conditionalFormatting>
  <conditionalFormatting sqref="B107">
    <cfRule type="expression" dxfId="33" priority="39">
      <formula>IF(C91="nee",TRUE,FALSE)</formula>
    </cfRule>
  </conditionalFormatting>
  <conditionalFormatting sqref="B87">
    <cfRule type="expression" dxfId="32" priority="38">
      <formula>IF(C71="nee",TRUE,FALSE)</formula>
    </cfRule>
  </conditionalFormatting>
  <conditionalFormatting sqref="B67">
    <cfRule type="expression" dxfId="31" priority="37">
      <formula>IF(C51="nee",TRUE,FALSE)</formula>
    </cfRule>
  </conditionalFormatting>
  <conditionalFormatting sqref="B70">
    <cfRule type="expression" dxfId="30" priority="35">
      <formula>IF(C51="nee",TRUE,FALSE)</formula>
    </cfRule>
  </conditionalFormatting>
  <conditionalFormatting sqref="B90">
    <cfRule type="expression" dxfId="29" priority="31">
      <formula>IF(C71="nee",TRUE,FALSE)</formula>
    </cfRule>
  </conditionalFormatting>
  <conditionalFormatting sqref="B110">
    <cfRule type="expression" dxfId="28" priority="27">
      <formula>IF(C91="nee",TRUE,FALSE)</formula>
    </cfRule>
  </conditionalFormatting>
  <conditionalFormatting sqref="B130">
    <cfRule type="expression" dxfId="27" priority="23">
      <formula>IF(C111="nee",TRUE,FALSE)</formula>
    </cfRule>
  </conditionalFormatting>
  <conditionalFormatting sqref="B150">
    <cfRule type="expression" dxfId="26" priority="19">
      <formula>IF(C131="nee",TRUE,FALSE)</formula>
    </cfRule>
  </conditionalFormatting>
  <conditionalFormatting sqref="B170">
    <cfRule type="expression" dxfId="25" priority="15">
      <formula>IF(C151="nee",TRUE,FALSE)</formula>
    </cfRule>
  </conditionalFormatting>
  <conditionalFormatting sqref="C70">
    <cfRule type="expression" dxfId="24" priority="13">
      <formula>LEFT(C69,3)&lt;&gt;"zij"</formula>
    </cfRule>
    <cfRule type="expression" dxfId="23" priority="1">
      <formula>IF(C51="nee",TRUE,FALSE)</formula>
    </cfRule>
  </conditionalFormatting>
  <conditionalFormatting sqref="C90">
    <cfRule type="expression" dxfId="22" priority="12">
      <formula>LEFT(C89,3)&lt;&gt;"zij"</formula>
    </cfRule>
    <cfRule type="expression" dxfId="21" priority="2">
      <formula>IF(C71="nee",TRUE,FALSE)</formula>
    </cfRule>
  </conditionalFormatting>
  <conditionalFormatting sqref="C110">
    <cfRule type="expression" dxfId="20" priority="11">
      <formula>LEFT(C109,3)&lt;&gt;"zij"</formula>
    </cfRule>
    <cfRule type="expression" dxfId="19" priority="3">
      <formula>IF(C91="nee",TRUE,FALSE)</formula>
    </cfRule>
  </conditionalFormatting>
  <conditionalFormatting sqref="C130">
    <cfRule type="expression" dxfId="18" priority="10">
      <formula>LEFT(C129,3)&lt;&gt;"zij"</formula>
    </cfRule>
    <cfRule type="expression" dxfId="17" priority="4">
      <formula>IF(C111="nee",TRUE,FALSE)</formula>
    </cfRule>
  </conditionalFormatting>
  <conditionalFormatting sqref="C150">
    <cfRule type="expression" dxfId="16" priority="9">
      <formula>LEFT(C149,3)&lt;&gt;"zij"</formula>
    </cfRule>
    <cfRule type="expression" dxfId="15" priority="5">
      <formula>IF(C131="nee",TRUE,FALSE)</formula>
    </cfRule>
  </conditionalFormatting>
  <conditionalFormatting sqref="C170">
    <cfRule type="expression" dxfId="14" priority="8">
      <formula>LEFT(C169,3)&lt;&gt;"zij"</formula>
    </cfRule>
    <cfRule type="expression" dxfId="13" priority="7">
      <formula>IF(C151="nee",TRUE,FALSE)</formula>
    </cfRule>
  </conditionalFormatting>
  <dataValidations xWindow="1089" yWindow="1460" count="5">
    <dataValidation type="list" allowBlank="1" showInputMessage="1" showErrorMessage="1" sqref="C102 C122 C42 C142 C82 C162 C62" xr:uid="{BDBE94AC-EA42-4C1E-8C93-4EB0C189DBC0}">
      <formula1>INDIRECT(B42)</formula1>
    </dataValidation>
    <dataValidation type="list" allowBlank="1" showErrorMessage="1" promptTitle="Maak een keuze" prompt="Bestaand of nieuw systeem?" sqref="C155 C55 C75 C95 C115 C135" xr:uid="{4EFFF669-AE4E-4324-8E27-826BD95A430A}">
      <formula1>nieuw_systeemlijst</formula1>
    </dataValidation>
    <dataValidation allowBlank="1" showErrorMessage="1" promptTitle="Hellingshoek" prompt="Vul de hellingshoek van de zonnepanelen in" sqref="C167 C47 C67 C87 C107 C127 C147" xr:uid="{B941C412-6E6C-4D3A-B8A6-B0AB9B38E9FE}"/>
    <dataValidation type="list" allowBlank="1" showErrorMessage="1" sqref="C35" xr:uid="{1848271F-FA67-457C-A84E-A1EA94C8BDC6}">
      <formula1>nieuw_systeemlijst</formula1>
    </dataValidation>
    <dataValidation allowBlank="1" showErrorMessage="1" sqref="C37 C74 C54 C34" xr:uid="{3EEF973D-267E-40B0-8816-4C99E5E74AF2}"/>
  </dataValidations>
  <pageMargins left="0.23622047244094491" right="0.23622047244094491" top="0.74803149606299213" bottom="0.74803149606299213" header="0.31496062992125984" footer="0.31496062992125984"/>
  <pageSetup paperSize="9" scale="80" orientation="portrait" r:id="rId1"/>
  <headerFooter>
    <oddFooter>&amp;L&amp;"Trebuchet MS,Cursief"&amp;10Rekentool Hernieuwbare energie met PV bij ingrijpende renovatie _x000D_&amp;1#&amp;"Calibri"&amp;10&amp;K000000 Intern gebruik&amp;C&amp;"Trebuchet MS,Cursief"&amp;10&amp;D&amp;R&amp;"Trebuchet MS,Cursief"&amp;10Pagina &amp;P van &amp;N</oddFooter>
  </headerFooter>
  <rowBreaks count="3" manualBreakCount="3">
    <brk id="52" max="16383" man="1"/>
    <brk id="92" max="16383" man="1"/>
    <brk id="132" max="16383" man="1"/>
  </rowBreaks>
  <drawing r:id="rId2"/>
  <extLst>
    <ext xmlns:x14="http://schemas.microsoft.com/office/spreadsheetml/2009/9/main" uri="{CCE6A557-97BC-4b89-ADB6-D9C93CAAB3DF}">
      <x14:dataValidations xmlns:xm="http://schemas.microsoft.com/office/excel/2006/main" xWindow="1089" yWindow="1460" count="8">
        <x14:dataValidation type="list" allowBlank="1" showInputMessage="1" showErrorMessage="1" xr:uid="{FFA7509E-0FA6-417B-9412-7D729077400C}">
          <x14:formula1>
            <xm:f>'Drop-down'!$BF$12:$BF$16</xm:f>
          </x14:formula1>
          <xm:sqref>C149 C69 C49 C129 C109 C89 C169</xm:sqref>
        </x14:dataValidation>
        <x14:dataValidation type="list" allowBlank="1" showErrorMessage="1" promptTitle="Oriëntatie" prompt="Kies een orientatie" xr:uid="{BED4B621-9F70-4524-B5D7-10EA68C275CA}">
          <x14:formula1>
            <xm:f>'Drop-down'!$AW$12:$AW$21</xm:f>
          </x14:formula1>
          <xm:sqref>C166 C46 C66 C86 C106 C126 C146</xm:sqref>
        </x14:dataValidation>
        <x14:dataValidation type="list" allowBlank="1" showErrorMessage="1" promptTitle="Ventilatie" prompt="Kies de mate van ventilatie achter de panelen" xr:uid="{7CB4B7C5-B1B2-49B7-8071-EF14EB67DDF8}">
          <x14:formula1>
            <xm:f>'Drop-down'!$BC$12:$BC$15</xm:f>
          </x14:formula1>
          <xm:sqref>C168 C48 C68 C88 C108 C128 C148</xm:sqref>
        </x14:dataValidation>
        <x14:dataValidation type="list" allowBlank="1" showInputMessage="1" showErrorMessage="1" xr:uid="{DD061F67-7605-46D9-8918-46B9CF5052BE}">
          <x14:formula1>
            <xm:f>'Drop-down'!$C$12:$C$13</xm:f>
          </x14:formula1>
          <xm:sqref>C131 C71 C91 C51 C111 C151</xm:sqref>
        </x14:dataValidation>
        <x14:dataValidation type="list" allowBlank="1" showInputMessage="1" showErrorMessage="1" prompt="Maak een keuze" xr:uid="{36A87B21-245B-4FB5-BB4D-081947F7D909}">
          <x14:formula1>
            <xm:f>'Drop-down'!$P$12:$P$17</xm:f>
          </x14:formula1>
          <xm:sqref>D159 D139</xm:sqref>
        </x14:dataValidation>
        <x14:dataValidation type="list" allowBlank="1" showErrorMessage="1" promptTitle="Gegevens PV systeem" prompt="Maak een keuze" xr:uid="{BCC7C325-D13E-46CC-894C-AEE6FFFAC738}">
          <x14:formula1>
            <xm:f>'Drop-down'!$P$12:$P$17</xm:f>
          </x14:formula1>
          <xm:sqref>C159 C59 C79 C99 C119 C139</xm:sqref>
        </x14:dataValidation>
        <x14:dataValidation type="list" allowBlank="1" showInputMessage="1" showErrorMessage="1" xr:uid="{EF75562A-5FD2-4405-96C1-40B90147FFC7}">
          <x14:formula1>
            <xm:f>'Drop-down'!$P$12:$P$17</xm:f>
          </x14:formula1>
          <xm:sqref>C39</xm:sqref>
        </x14:dataValidation>
        <x14:dataValidation type="list" allowBlank="1" showErrorMessage="1" promptTitle="Belemmering" prompt="Kies de relatieve breedte van de belemmering" xr:uid="{8BA027C3-4FA8-4F7A-88AF-37F66BB56C23}">
          <x14:formula1>
            <xm:f>'Drop-down'!$BI$11:$BI$14</xm:f>
          </x14:formula1>
          <xm:sqref>C50 C70 C90 C110 C130 C150 C170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1C63A-EB39-4EB1-AF30-E1BA647B7024}">
  <sheetPr>
    <tabColor theme="0" tint="-0.249977111117893"/>
  </sheetPr>
  <dimension ref="A1:F1718"/>
  <sheetViews>
    <sheetView workbookViewId="0">
      <selection activeCell="I32" sqref="I32"/>
    </sheetView>
  </sheetViews>
  <sheetFormatPr defaultRowHeight="14.4" x14ac:dyDescent="0.3"/>
  <cols>
    <col min="1" max="1" width="5.6640625" customWidth="1"/>
    <col min="2" max="2" width="77" customWidth="1"/>
    <col min="3" max="3" width="18.6640625" customWidth="1"/>
    <col min="4" max="4" width="11.33203125" bestFit="1" customWidth="1"/>
    <col min="5" max="5" width="5.6640625" customWidth="1"/>
  </cols>
  <sheetData>
    <row r="1" spans="1:6" x14ac:dyDescent="0.3">
      <c r="A1" s="71"/>
      <c r="B1" s="63" t="s">
        <v>495</v>
      </c>
      <c r="C1" s="63"/>
      <c r="D1" s="63"/>
      <c r="E1" s="63"/>
      <c r="F1" s="63"/>
    </row>
    <row r="2" spans="1:6" ht="28.8" x14ac:dyDescent="0.55000000000000004">
      <c r="A2" s="71"/>
      <c r="B2" s="78" t="s">
        <v>421</v>
      </c>
      <c r="C2" s="63"/>
      <c r="D2" s="63"/>
      <c r="E2" s="63"/>
      <c r="F2" s="63"/>
    </row>
    <row r="3" spans="1:6" ht="15" x14ac:dyDescent="0.35">
      <c r="A3" s="71"/>
      <c r="B3" s="74" t="str">
        <f>Toelichting!$B$3</f>
        <v>versie: 2.0 - 28 december 2023</v>
      </c>
      <c r="C3" s="63"/>
      <c r="D3" s="63"/>
      <c r="E3" s="63"/>
      <c r="F3" s="63"/>
    </row>
    <row r="4" spans="1:6" x14ac:dyDescent="0.3">
      <c r="A4" s="71"/>
      <c r="B4" s="63"/>
      <c r="C4" s="63"/>
      <c r="D4" s="63"/>
      <c r="E4" s="63"/>
      <c r="F4" s="63"/>
    </row>
    <row r="5" spans="1:6" ht="15" x14ac:dyDescent="0.35">
      <c r="A5" s="71"/>
      <c r="B5" s="77" t="s">
        <v>412</v>
      </c>
      <c r="C5" s="71"/>
      <c r="D5" s="71"/>
      <c r="E5" s="63"/>
      <c r="F5" s="63"/>
    </row>
    <row r="6" spans="1:6" ht="15" x14ac:dyDescent="0.35">
      <c r="A6" s="71"/>
      <c r="B6" s="132" t="str">
        <f ca="1">IF(PV_Rekentool!C44&gt;0,CONCATENATE("Opbrengst systeem 1 - ", C35),"Geef een PV-systeem op")</f>
        <v xml:space="preserve">Opbrengst systeem 1 - </v>
      </c>
      <c r="C6" s="124" t="str">
        <f ca="1">IF(PV_Rekentool!C44="nog te berekenen","nog te berekenen",IF(PV_Rekentool!C44&gt;0,Opbrengst_systeem1,""))</f>
        <v>nog te berekenen</v>
      </c>
      <c r="D6" s="81" t="str">
        <f ca="1">IF(LEFT(B6,9)="Opbrengst","kWh/jr","")</f>
        <v>kWh/jr</v>
      </c>
      <c r="E6" s="63"/>
      <c r="F6" s="63"/>
    </row>
    <row r="7" spans="1:6" ht="15" x14ac:dyDescent="0.35">
      <c r="A7" s="71"/>
      <c r="B7" s="82" t="str">
        <f>IF(aanwezig2="ja",CONCATENATE("Opbrengst systeem 2 - ", C55),"")</f>
        <v/>
      </c>
      <c r="C7" s="125" t="str">
        <f>IF(aanwezig2="nee","",IFERROR(Opbrengst_systeem2,"Systeem invoeren of indien niet aanwezig verwijderen"))</f>
        <v/>
      </c>
      <c r="D7" s="79" t="str">
        <f t="shared" ref="D7:D9" si="0">IF(LEFT(B7,9)="Opbrengst","kWh/jr","")</f>
        <v/>
      </c>
      <c r="E7" s="63"/>
      <c r="F7" s="63"/>
    </row>
    <row r="8" spans="1:6" ht="15" x14ac:dyDescent="0.35">
      <c r="A8" s="71"/>
      <c r="B8" s="82" t="str">
        <f>IF(aanwezig3="ja",CONCATENATE("Opbrengst systeem 3 - ", C75),"")</f>
        <v/>
      </c>
      <c r="C8" s="125" t="str">
        <f>IF(aanwezig3="nee","",IFERROR(Opbrengst_systeem3,"Systeem invoeren of indien niet aanwezig verwijderen"))</f>
        <v/>
      </c>
      <c r="D8" s="79" t="str">
        <f t="shared" si="0"/>
        <v/>
      </c>
      <c r="E8" s="63"/>
      <c r="F8" s="63"/>
    </row>
    <row r="9" spans="1:6" ht="15" x14ac:dyDescent="0.35">
      <c r="A9" s="71"/>
      <c r="B9" s="82" t="str">
        <f>IF(aanwezig4="ja",CONCATENATE("Opbrengst systeem 4 - ", C95),"")</f>
        <v/>
      </c>
      <c r="C9" s="125" t="str">
        <f>IF(aanwezig4="nee","",IFERROR(Opbrengst_systeem4,"Systeem invoeren of indien niet aanwezig verwijderen"))</f>
        <v/>
      </c>
      <c r="D9" s="79" t="str">
        <f t="shared" si="0"/>
        <v/>
      </c>
      <c r="E9" s="63"/>
      <c r="F9" s="63"/>
    </row>
    <row r="10" spans="1:6" ht="15" x14ac:dyDescent="0.35">
      <c r="A10" s="71"/>
      <c r="B10" s="82" t="str">
        <f>IF(aanwezig5="ja",CONCATENATE("Opbrengst systeem 5 - ", C115),"")</f>
        <v/>
      </c>
      <c r="C10" s="125" t="str">
        <f>IF(aanwezig5="nee","",IFERROR(Opbrengst_systeem5,"Systeem invoeren of indien niet aanwezig verwijderen"))</f>
        <v/>
      </c>
      <c r="D10" s="79" t="str">
        <f>IF(LEFT(B10,9)="Opbrengst","kWh/jr","")</f>
        <v/>
      </c>
      <c r="E10" s="63"/>
      <c r="F10" s="63"/>
    </row>
    <row r="11" spans="1:6" ht="15" x14ac:dyDescent="0.35">
      <c r="A11" s="71"/>
      <c r="B11" s="82" t="str">
        <f>IF(aanwezig6="ja",CONCATENATE("Opbrengst systeem 6 - ", C135),"")</f>
        <v/>
      </c>
      <c r="C11" s="125" t="str">
        <f>IF(aanwezig6="nee","",IFERROR(Opbrengst_systeem6,"Systeem invoeren of indien niet aanwezig verwijderen"))</f>
        <v/>
      </c>
      <c r="D11" s="79" t="str">
        <f>IF(LEFT(B11,9)="Opbrengst","kWh/jr","")</f>
        <v/>
      </c>
      <c r="E11" s="63"/>
      <c r="F11" s="63"/>
    </row>
    <row r="12" spans="1:6" ht="15" x14ac:dyDescent="0.35">
      <c r="A12" s="71"/>
      <c r="B12" s="82" t="str">
        <f>IF(aanwezig7="ja",CONCATENATE("Opbrengst systeem 7 - ", C155),"")</f>
        <v/>
      </c>
      <c r="C12" s="125" t="str">
        <f>IF(aanwezig7="nee","",IFERROR(Opbrengst_systeem7,"Systeem invoeren of indien niet aanwezig verwijderen"))</f>
        <v/>
      </c>
      <c r="D12" s="79" t="str">
        <f>IF(LEFT(B12,9)="Opbrengst","kWh/jr","")</f>
        <v/>
      </c>
      <c r="E12" s="63"/>
      <c r="F12" s="63"/>
    </row>
    <row r="13" spans="1:6" ht="15" x14ac:dyDescent="0.35">
      <c r="A13" s="71"/>
      <c r="B13" s="101" t="str">
        <f ca="1">IF(LEFT(B6,9)="Opbrengst","Totaal opbrengst systemen [kWh/jr]","")</f>
        <v>Totaal opbrengst systemen [kWh/jr]</v>
      </c>
      <c r="C13" s="126">
        <f ca="1">IF(NOT(D6=""),SUM(C6:C12),"")</f>
        <v>0</v>
      </c>
      <c r="D13" s="102" t="str">
        <f ca="1">IF(LEFT(B6,9)="Opbrengst","kWh/jr","")</f>
        <v>kWh/jr</v>
      </c>
      <c r="E13" s="63"/>
      <c r="F13" s="63"/>
    </row>
    <row r="14" spans="1:6" ht="15" x14ac:dyDescent="0.35">
      <c r="A14" s="71"/>
      <c r="B14" s="101" t="str">
        <f>IF(LEFT(B7,9)="Opbrengst","Totaal opbrengst systemen [kWh/m2/jr]","")</f>
        <v/>
      </c>
      <c r="C14" s="126" t="e">
        <f ca="1">Opbrengst_tot_kWh_m2_jaar</f>
        <v>#DIV/0!</v>
      </c>
      <c r="D14" s="102" t="str">
        <f>IF(LEFT(B7,9)="Opbrengst","kWh/m2/jr","")</f>
        <v/>
      </c>
      <c r="E14" s="63"/>
      <c r="F14" s="63"/>
    </row>
    <row r="15" spans="1:6" ht="15" x14ac:dyDescent="0.35">
      <c r="A15" s="71"/>
      <c r="B15" s="106" t="str">
        <f>PV_Rekentool!B31</f>
        <v>Wordt er voldaan aan de eis voor hernieuwbare energie?</v>
      </c>
      <c r="C15" s="127" t="str">
        <f>PV_Rekentool!C30</f>
        <v/>
      </c>
      <c r="D15" s="107" t="s">
        <v>503</v>
      </c>
      <c r="E15" s="63"/>
      <c r="F15" s="63"/>
    </row>
    <row r="16" spans="1:6" x14ac:dyDescent="0.3">
      <c r="A16" s="71"/>
      <c r="B16" s="67" t="str">
        <f ca="1">IF(NOT(D6=""),"Wordt er voldaan aan de eis voor hernieuwbare energie?","")</f>
        <v>Wordt er voldaan aan de eis voor hernieuwbare energie?</v>
      </c>
      <c r="C16" s="109" t="e">
        <f ca="1">IF(NOT(D6=""),IF(C14&gt;C15,"ja","nee"),"")</f>
        <v>#DIV/0!</v>
      </c>
      <c r="D16" s="67"/>
      <c r="E16" s="63"/>
      <c r="F16" s="63"/>
    </row>
    <row r="17" spans="1:6" x14ac:dyDescent="0.3">
      <c r="A17" s="71"/>
      <c r="B17" s="63"/>
      <c r="C17" s="63"/>
      <c r="D17" s="63"/>
      <c r="E17" s="63"/>
      <c r="F17" s="63"/>
    </row>
    <row r="18" spans="1:6" x14ac:dyDescent="0.3">
      <c r="A18" s="71"/>
      <c r="B18" s="63"/>
      <c r="C18" s="63"/>
      <c r="D18" s="63"/>
      <c r="E18" s="63"/>
      <c r="F18" s="63"/>
    </row>
    <row r="19" spans="1:6" x14ac:dyDescent="0.3">
      <c r="A19" s="71"/>
      <c r="B19" s="63"/>
      <c r="C19" s="63"/>
      <c r="D19" s="63"/>
      <c r="E19" s="63"/>
      <c r="F19" s="63"/>
    </row>
    <row r="20" spans="1:6" x14ac:dyDescent="0.3">
      <c r="A20" s="71"/>
      <c r="B20" s="63"/>
      <c r="C20" s="63"/>
      <c r="D20" s="63"/>
      <c r="E20" s="63"/>
      <c r="F20" s="63"/>
    </row>
    <row r="21" spans="1:6" x14ac:dyDescent="0.3">
      <c r="A21" s="71"/>
      <c r="B21" s="63"/>
      <c r="C21" s="63"/>
      <c r="D21" s="63"/>
      <c r="E21" s="63"/>
      <c r="F21" s="63"/>
    </row>
    <row r="22" spans="1:6" x14ac:dyDescent="0.3">
      <c r="A22" s="71"/>
      <c r="B22" s="63"/>
      <c r="C22" s="63"/>
      <c r="D22" s="63"/>
      <c r="E22" s="63"/>
      <c r="F22" s="63"/>
    </row>
    <row r="23" spans="1:6" x14ac:dyDescent="0.3">
      <c r="A23" s="71"/>
      <c r="B23" s="63"/>
      <c r="C23" s="63"/>
      <c r="D23" s="63"/>
      <c r="E23" s="63"/>
      <c r="F23" s="63"/>
    </row>
    <row r="24" spans="1:6" x14ac:dyDescent="0.3">
      <c r="A24" s="71"/>
      <c r="B24" s="63"/>
      <c r="C24" s="63"/>
      <c r="D24" s="63"/>
      <c r="E24" s="63"/>
      <c r="F24" s="63"/>
    </row>
    <row r="25" spans="1:6" x14ac:dyDescent="0.3">
      <c r="A25" s="71"/>
      <c r="B25" s="63"/>
      <c r="C25" s="63"/>
      <c r="D25" s="63"/>
      <c r="E25" s="63"/>
      <c r="F25" s="63"/>
    </row>
    <row r="26" spans="1:6" x14ac:dyDescent="0.3">
      <c r="A26" s="71"/>
      <c r="B26" s="63"/>
      <c r="C26" s="63"/>
      <c r="D26" s="63"/>
      <c r="E26" s="63"/>
      <c r="F26" s="63"/>
    </row>
    <row r="27" spans="1:6" x14ac:dyDescent="0.3">
      <c r="A27" s="71"/>
      <c r="B27" s="63"/>
      <c r="C27" s="63"/>
      <c r="D27" s="63"/>
      <c r="E27" s="63"/>
      <c r="F27" s="63"/>
    </row>
    <row r="28" spans="1:6" x14ac:dyDescent="0.3">
      <c r="A28" s="98"/>
      <c r="B28" s="63"/>
      <c r="C28" s="63"/>
      <c r="D28" s="68"/>
      <c r="E28" s="68"/>
      <c r="F28" s="68"/>
    </row>
    <row r="29" spans="1:6" x14ac:dyDescent="0.3">
      <c r="A29" s="71"/>
      <c r="B29" s="63"/>
      <c r="C29" s="63"/>
      <c r="D29" s="63"/>
      <c r="E29" s="63"/>
      <c r="F29" s="63"/>
    </row>
    <row r="30" spans="1:6" x14ac:dyDescent="0.3">
      <c r="A30" s="99"/>
      <c r="B30" s="63"/>
      <c r="C30" s="63"/>
      <c r="D30" s="63"/>
      <c r="E30" s="63"/>
      <c r="F30" s="63"/>
    </row>
    <row r="31" spans="1:6" x14ac:dyDescent="0.3">
      <c r="A31" s="71"/>
      <c r="B31" s="63"/>
      <c r="C31" s="63"/>
      <c r="D31" s="63"/>
      <c r="E31" s="63"/>
      <c r="F31" s="63"/>
    </row>
    <row r="32" spans="1:6" x14ac:dyDescent="0.3">
      <c r="A32" s="71"/>
      <c r="B32" s="63"/>
      <c r="C32" s="63"/>
      <c r="D32" s="63"/>
      <c r="E32" s="63"/>
      <c r="F32" s="63"/>
    </row>
    <row r="33" spans="1:6" x14ac:dyDescent="0.3">
      <c r="A33" s="71"/>
      <c r="B33" s="63"/>
      <c r="C33" s="63"/>
      <c r="D33" s="63"/>
      <c r="E33" s="63"/>
      <c r="F33" s="63"/>
    </row>
    <row r="34" spans="1:6" x14ac:dyDescent="0.3">
      <c r="A34" s="71"/>
      <c r="B34" s="63"/>
      <c r="C34" s="63"/>
      <c r="D34" s="63"/>
      <c r="E34" s="63"/>
      <c r="F34" s="63"/>
    </row>
    <row r="35" spans="1:6" x14ac:dyDescent="0.3">
      <c r="A35" s="71"/>
      <c r="B35" s="63"/>
      <c r="C35" s="63"/>
      <c r="D35" s="63"/>
      <c r="E35" s="63"/>
      <c r="F35" s="63"/>
    </row>
    <row r="36" spans="1:6" x14ac:dyDescent="0.3">
      <c r="A36" s="71"/>
      <c r="B36" s="63"/>
      <c r="C36" s="63"/>
      <c r="D36" s="63"/>
      <c r="E36" s="63"/>
      <c r="F36" s="63"/>
    </row>
    <row r="37" spans="1:6" x14ac:dyDescent="0.3">
      <c r="A37" s="71"/>
      <c r="B37" s="63"/>
      <c r="C37" s="63"/>
      <c r="D37" s="63"/>
      <c r="E37" s="63"/>
      <c r="F37" s="63"/>
    </row>
    <row r="38" spans="1:6" x14ac:dyDescent="0.3">
      <c r="A38" s="71"/>
      <c r="B38" s="63"/>
      <c r="C38" s="63"/>
      <c r="D38" s="63"/>
      <c r="E38" s="63"/>
      <c r="F38" s="63"/>
    </row>
    <row r="39" spans="1:6" x14ac:dyDescent="0.3">
      <c r="A39" s="71"/>
      <c r="B39" s="63"/>
      <c r="C39" s="63"/>
      <c r="D39" s="63"/>
      <c r="E39" s="63"/>
      <c r="F39" s="63"/>
    </row>
    <row r="40" spans="1:6" x14ac:dyDescent="0.3">
      <c r="A40" s="71"/>
      <c r="B40" s="63"/>
      <c r="C40" s="63"/>
      <c r="D40" s="63"/>
      <c r="E40" s="63"/>
      <c r="F40" s="63"/>
    </row>
    <row r="41" spans="1:6" x14ac:dyDescent="0.3">
      <c r="A41" s="71"/>
      <c r="B41" s="63"/>
      <c r="C41" s="63"/>
      <c r="D41" s="63"/>
      <c r="E41" s="63"/>
      <c r="F41" s="63"/>
    </row>
    <row r="42" spans="1:6" x14ac:dyDescent="0.3">
      <c r="A42" s="71"/>
      <c r="B42" s="63"/>
      <c r="C42" s="63"/>
      <c r="D42" s="63"/>
      <c r="E42" s="63"/>
      <c r="F42" s="63"/>
    </row>
    <row r="43" spans="1:6" x14ac:dyDescent="0.3">
      <c r="A43" s="71"/>
      <c r="B43" s="63"/>
      <c r="C43" s="63"/>
      <c r="D43" s="63"/>
      <c r="E43" s="63"/>
      <c r="F43" s="63"/>
    </row>
    <row r="44" spans="1:6" x14ac:dyDescent="0.3">
      <c r="A44" s="71"/>
      <c r="B44" s="63"/>
      <c r="C44" s="63"/>
      <c r="D44" s="63"/>
      <c r="E44" s="63"/>
      <c r="F44" s="63"/>
    </row>
    <row r="45" spans="1:6" x14ac:dyDescent="0.3">
      <c r="A45" s="71"/>
      <c r="B45" s="63"/>
      <c r="C45" s="63"/>
      <c r="D45" s="63"/>
      <c r="E45" s="63"/>
      <c r="F45" s="63"/>
    </row>
    <row r="46" spans="1:6" x14ac:dyDescent="0.3">
      <c r="A46" s="71"/>
      <c r="B46" s="63"/>
      <c r="C46" s="63"/>
      <c r="D46" s="63"/>
      <c r="E46" s="63"/>
      <c r="F46" s="63"/>
    </row>
    <row r="47" spans="1:6" x14ac:dyDescent="0.3">
      <c r="A47" s="71"/>
      <c r="B47" s="63"/>
      <c r="C47" s="63"/>
      <c r="D47" s="63"/>
      <c r="E47" s="63"/>
      <c r="F47" s="63"/>
    </row>
    <row r="48" spans="1:6" x14ac:dyDescent="0.3">
      <c r="A48" s="71"/>
      <c r="B48" s="63"/>
      <c r="C48" s="63"/>
      <c r="D48" s="63"/>
      <c r="E48" s="63"/>
      <c r="F48" s="63"/>
    </row>
    <row r="49" spans="1:6" x14ac:dyDescent="0.3">
      <c r="A49" s="71"/>
      <c r="B49" s="63"/>
      <c r="C49" s="63"/>
      <c r="D49" s="63"/>
      <c r="E49" s="63"/>
      <c r="F49" s="63"/>
    </row>
    <row r="50" spans="1:6" x14ac:dyDescent="0.3">
      <c r="A50" s="71"/>
      <c r="B50" s="63"/>
      <c r="C50" s="63"/>
      <c r="D50" s="63"/>
      <c r="E50" s="63"/>
      <c r="F50" s="63"/>
    </row>
    <row r="51" spans="1:6" x14ac:dyDescent="0.3">
      <c r="A51" s="71"/>
      <c r="B51" s="63"/>
      <c r="C51" s="63"/>
      <c r="D51" s="63"/>
      <c r="E51" s="63"/>
      <c r="F51" s="63"/>
    </row>
    <row r="52" spans="1:6" x14ac:dyDescent="0.3">
      <c r="A52" s="71"/>
      <c r="B52" s="63"/>
      <c r="C52" s="63"/>
      <c r="D52" s="63"/>
      <c r="E52" s="63"/>
      <c r="F52" s="63"/>
    </row>
    <row r="53" spans="1:6" x14ac:dyDescent="0.3">
      <c r="A53" s="71"/>
      <c r="B53" s="63"/>
      <c r="C53" s="63"/>
      <c r="D53" s="63"/>
      <c r="E53" s="63"/>
      <c r="F53" s="63"/>
    </row>
    <row r="54" spans="1:6" x14ac:dyDescent="0.3">
      <c r="A54" s="71"/>
      <c r="B54" s="63"/>
      <c r="C54" s="63"/>
      <c r="D54" s="63"/>
      <c r="E54" s="63"/>
      <c r="F54" s="63"/>
    </row>
    <row r="55" spans="1:6" x14ac:dyDescent="0.3">
      <c r="A55" s="71"/>
      <c r="B55" s="63"/>
      <c r="C55" s="63"/>
      <c r="D55" s="63"/>
      <c r="E55" s="63"/>
      <c r="F55" s="63"/>
    </row>
    <row r="56" spans="1:6" x14ac:dyDescent="0.3">
      <c r="A56" s="71"/>
      <c r="B56" s="63"/>
      <c r="C56" s="63"/>
      <c r="D56" s="63"/>
      <c r="E56" s="63"/>
      <c r="F56" s="63"/>
    </row>
    <row r="57" spans="1:6" x14ac:dyDescent="0.3">
      <c r="A57" s="71"/>
      <c r="B57" s="63"/>
      <c r="C57" s="63"/>
      <c r="D57" s="63"/>
      <c r="E57" s="63"/>
      <c r="F57" s="63"/>
    </row>
    <row r="58" spans="1:6" x14ac:dyDescent="0.3">
      <c r="A58" s="71"/>
      <c r="B58" s="110"/>
      <c r="C58" s="63"/>
      <c r="D58" s="63"/>
      <c r="E58" s="63"/>
      <c r="F58" s="63"/>
    </row>
    <row r="59" spans="1:6" x14ac:dyDescent="0.3">
      <c r="A59" s="71"/>
      <c r="B59" s="63"/>
      <c r="C59" s="63"/>
      <c r="D59" s="63"/>
      <c r="E59" s="63"/>
      <c r="F59" s="63"/>
    </row>
    <row r="60" spans="1:6" x14ac:dyDescent="0.3">
      <c r="A60" s="71"/>
      <c r="B60" s="63"/>
      <c r="C60" s="63"/>
      <c r="D60" s="63"/>
      <c r="E60" s="63"/>
      <c r="F60" s="63"/>
    </row>
    <row r="61" spans="1:6" x14ac:dyDescent="0.3">
      <c r="A61" s="71"/>
      <c r="B61" s="63"/>
      <c r="C61" s="63"/>
      <c r="D61" s="63"/>
      <c r="E61" s="63"/>
      <c r="F61" s="63"/>
    </row>
    <row r="62" spans="1:6" x14ac:dyDescent="0.3">
      <c r="A62" s="71"/>
      <c r="B62" s="63"/>
      <c r="C62" s="63"/>
      <c r="D62" s="63"/>
      <c r="E62" s="63"/>
      <c r="F62" s="63"/>
    </row>
    <row r="63" spans="1:6" x14ac:dyDescent="0.3">
      <c r="A63" s="71"/>
      <c r="B63" s="63"/>
      <c r="C63" s="63"/>
      <c r="D63" s="63"/>
      <c r="E63" s="63"/>
      <c r="F63" s="63"/>
    </row>
    <row r="64" spans="1:6" x14ac:dyDescent="0.3">
      <c r="A64" s="71"/>
      <c r="B64" s="63"/>
      <c r="C64" s="63"/>
      <c r="D64" s="63"/>
      <c r="E64" s="63"/>
      <c r="F64" s="63"/>
    </row>
    <row r="65" spans="1:6" x14ac:dyDescent="0.3">
      <c r="A65" s="71"/>
      <c r="B65" s="63"/>
      <c r="C65" s="63"/>
      <c r="D65" s="63"/>
      <c r="E65" s="63"/>
      <c r="F65" s="63"/>
    </row>
    <row r="66" spans="1:6" x14ac:dyDescent="0.3">
      <c r="A66" s="71"/>
      <c r="B66" s="63"/>
      <c r="C66" s="63"/>
      <c r="D66" s="63"/>
      <c r="E66" s="63"/>
      <c r="F66" s="63"/>
    </row>
    <row r="67" spans="1:6" x14ac:dyDescent="0.3">
      <c r="A67" s="71"/>
      <c r="B67" s="63"/>
      <c r="C67" s="63"/>
      <c r="D67" s="63"/>
      <c r="E67" s="63"/>
      <c r="F67" s="63"/>
    </row>
    <row r="68" spans="1:6" x14ac:dyDescent="0.3">
      <c r="A68" s="71"/>
      <c r="B68" s="63"/>
      <c r="C68" s="63"/>
      <c r="D68" s="63"/>
      <c r="E68" s="63"/>
      <c r="F68" s="63"/>
    </row>
    <row r="69" spans="1:6" x14ac:dyDescent="0.3">
      <c r="A69" s="71"/>
      <c r="B69" s="63"/>
      <c r="C69" s="63"/>
      <c r="D69" s="63"/>
      <c r="E69" s="63"/>
      <c r="F69" s="63"/>
    </row>
    <row r="70" spans="1:6" x14ac:dyDescent="0.3">
      <c r="A70" s="71"/>
      <c r="B70" s="63"/>
      <c r="C70" s="63"/>
      <c r="D70" s="63"/>
      <c r="E70" s="63"/>
      <c r="F70" s="63"/>
    </row>
    <row r="71" spans="1:6" x14ac:dyDescent="0.3">
      <c r="A71" s="71"/>
      <c r="B71" s="63"/>
      <c r="C71" s="63"/>
      <c r="D71" s="63"/>
      <c r="E71" s="63"/>
      <c r="F71" s="63"/>
    </row>
    <row r="72" spans="1:6" x14ac:dyDescent="0.3">
      <c r="A72" s="71"/>
      <c r="B72" s="63"/>
      <c r="C72" s="63"/>
      <c r="D72" s="63"/>
      <c r="E72" s="63"/>
      <c r="F72" s="63"/>
    </row>
    <row r="73" spans="1:6" x14ac:dyDescent="0.3">
      <c r="A73" s="71"/>
      <c r="B73" s="63"/>
      <c r="C73" s="63"/>
      <c r="D73" s="63"/>
      <c r="E73" s="63"/>
      <c r="F73" s="63"/>
    </row>
    <row r="74" spans="1:6" x14ac:dyDescent="0.3">
      <c r="A74" s="71"/>
      <c r="B74" s="63"/>
      <c r="C74" s="63"/>
      <c r="D74" s="63"/>
      <c r="E74" s="63"/>
      <c r="F74" s="63"/>
    </row>
    <row r="75" spans="1:6" x14ac:dyDescent="0.3">
      <c r="A75" s="71"/>
      <c r="B75" s="63"/>
      <c r="C75" s="63"/>
      <c r="D75" s="63"/>
      <c r="E75" s="63"/>
      <c r="F75" s="63"/>
    </row>
    <row r="76" spans="1:6" x14ac:dyDescent="0.3">
      <c r="A76" s="71"/>
      <c r="B76" s="63"/>
      <c r="C76" s="63"/>
      <c r="D76" s="63"/>
      <c r="E76" s="63"/>
      <c r="F76" s="63"/>
    </row>
    <row r="77" spans="1:6" x14ac:dyDescent="0.3">
      <c r="A77" s="71"/>
      <c r="B77" s="63"/>
      <c r="C77" s="63"/>
      <c r="D77" s="63"/>
      <c r="E77" s="63"/>
      <c r="F77" s="63"/>
    </row>
    <row r="78" spans="1:6" x14ac:dyDescent="0.3">
      <c r="A78" s="71"/>
      <c r="B78" s="63"/>
      <c r="C78" s="63"/>
      <c r="D78" s="63"/>
      <c r="E78" s="63"/>
      <c r="F78" s="63"/>
    </row>
    <row r="79" spans="1:6" x14ac:dyDescent="0.3">
      <c r="A79" s="71"/>
      <c r="B79" s="63"/>
      <c r="C79" s="63"/>
      <c r="D79" s="63"/>
      <c r="E79" s="63"/>
      <c r="F79" s="63"/>
    </row>
    <row r="80" spans="1:6" x14ac:dyDescent="0.3">
      <c r="A80" s="71"/>
      <c r="B80" s="63"/>
      <c r="C80" s="63"/>
      <c r="D80" s="63"/>
      <c r="E80" s="63"/>
      <c r="F80" s="63"/>
    </row>
    <row r="81" spans="1:6" x14ac:dyDescent="0.3">
      <c r="A81" s="71"/>
      <c r="B81" s="63"/>
      <c r="C81" s="63"/>
      <c r="D81" s="63"/>
      <c r="E81" s="63"/>
      <c r="F81" s="63"/>
    </row>
    <row r="82" spans="1:6" x14ac:dyDescent="0.3">
      <c r="A82" s="71"/>
      <c r="B82" s="63"/>
      <c r="C82" s="63"/>
      <c r="D82" s="63"/>
      <c r="E82" s="63"/>
      <c r="F82" s="63"/>
    </row>
    <row r="83" spans="1:6" x14ac:dyDescent="0.3">
      <c r="A83" s="71"/>
      <c r="B83" s="63"/>
      <c r="C83" s="63"/>
      <c r="D83" s="63"/>
      <c r="E83" s="63"/>
      <c r="F83" s="63"/>
    </row>
    <row r="84" spans="1:6" x14ac:dyDescent="0.3">
      <c r="A84" s="71"/>
      <c r="B84" s="63"/>
      <c r="C84" s="63"/>
      <c r="D84" s="63"/>
      <c r="E84" s="63"/>
      <c r="F84" s="63"/>
    </row>
    <row r="85" spans="1:6" x14ac:dyDescent="0.3">
      <c r="A85" s="71"/>
      <c r="B85" s="63"/>
      <c r="C85" s="63"/>
      <c r="D85" s="63"/>
      <c r="E85" s="63"/>
      <c r="F85" s="63"/>
    </row>
    <row r="86" spans="1:6" x14ac:dyDescent="0.3">
      <c r="A86" s="71"/>
      <c r="B86" s="63"/>
      <c r="C86" s="63"/>
      <c r="D86" s="63"/>
      <c r="E86" s="63"/>
      <c r="F86" s="63"/>
    </row>
    <row r="87" spans="1:6" x14ac:dyDescent="0.3">
      <c r="A87" s="71"/>
      <c r="B87" s="63"/>
      <c r="C87" s="63"/>
      <c r="D87" s="63"/>
      <c r="E87" s="63"/>
      <c r="F87" s="63"/>
    </row>
    <row r="88" spans="1:6" x14ac:dyDescent="0.3">
      <c r="A88" s="71"/>
      <c r="B88" s="63"/>
      <c r="C88" s="63"/>
      <c r="D88" s="63"/>
      <c r="E88" s="63"/>
      <c r="F88" s="63"/>
    </row>
    <row r="89" spans="1:6" x14ac:dyDescent="0.3">
      <c r="A89" s="71"/>
      <c r="B89" s="63"/>
      <c r="C89" s="63"/>
      <c r="D89" s="63"/>
      <c r="E89" s="63"/>
      <c r="F89" s="63"/>
    </row>
    <row r="90" spans="1:6" x14ac:dyDescent="0.3">
      <c r="A90" s="71"/>
      <c r="B90" s="63"/>
      <c r="C90" s="63"/>
      <c r="D90" s="63"/>
      <c r="E90" s="63"/>
      <c r="F90" s="63"/>
    </row>
    <row r="91" spans="1:6" x14ac:dyDescent="0.3">
      <c r="A91" s="71"/>
      <c r="B91" s="63"/>
      <c r="C91" s="63"/>
      <c r="D91" s="63"/>
      <c r="E91" s="63"/>
      <c r="F91" s="63"/>
    </row>
    <row r="92" spans="1:6" x14ac:dyDescent="0.3">
      <c r="A92" s="71"/>
      <c r="B92" s="63"/>
      <c r="C92" s="63"/>
      <c r="D92" s="63"/>
      <c r="E92" s="63"/>
      <c r="F92" s="63"/>
    </row>
    <row r="93" spans="1:6" x14ac:dyDescent="0.3">
      <c r="A93" s="71"/>
      <c r="B93" s="63"/>
      <c r="C93" s="63"/>
      <c r="D93" s="63"/>
      <c r="E93" s="63"/>
      <c r="F93" s="63"/>
    </row>
    <row r="94" spans="1:6" x14ac:dyDescent="0.3">
      <c r="A94" s="71"/>
      <c r="B94" s="63"/>
      <c r="C94" s="63"/>
      <c r="D94" s="63"/>
      <c r="E94" s="63"/>
      <c r="F94" s="63"/>
    </row>
    <row r="95" spans="1:6" x14ac:dyDescent="0.3">
      <c r="A95" s="71"/>
      <c r="B95" s="63"/>
      <c r="C95" s="63"/>
      <c r="D95" s="63"/>
      <c r="E95" s="63"/>
      <c r="F95" s="63"/>
    </row>
    <row r="96" spans="1:6" x14ac:dyDescent="0.3">
      <c r="A96" s="71"/>
      <c r="B96" s="63"/>
      <c r="C96" s="63"/>
      <c r="D96" s="63"/>
      <c r="E96" s="63"/>
      <c r="F96" s="63"/>
    </row>
    <row r="97" spans="1:6" x14ac:dyDescent="0.3">
      <c r="A97" s="71"/>
      <c r="B97" s="63"/>
      <c r="C97" s="63"/>
      <c r="D97" s="63"/>
      <c r="E97" s="63"/>
      <c r="F97" s="63"/>
    </row>
    <row r="98" spans="1:6" x14ac:dyDescent="0.3">
      <c r="A98" s="71"/>
      <c r="B98" s="63"/>
      <c r="C98" s="63"/>
      <c r="D98" s="63"/>
      <c r="E98" s="63"/>
      <c r="F98" s="63"/>
    </row>
    <row r="99" spans="1:6" x14ac:dyDescent="0.3">
      <c r="A99" s="71"/>
      <c r="B99" s="63"/>
      <c r="C99" s="63"/>
      <c r="D99" s="63"/>
      <c r="E99" s="63"/>
      <c r="F99" s="63"/>
    </row>
    <row r="100" spans="1:6" x14ac:dyDescent="0.3">
      <c r="A100" s="71"/>
      <c r="B100" s="63"/>
      <c r="C100" s="63"/>
      <c r="D100" s="63"/>
      <c r="E100" s="63"/>
      <c r="F100" s="63"/>
    </row>
    <row r="101" spans="1:6" x14ac:dyDescent="0.3">
      <c r="A101" s="71"/>
      <c r="B101" s="63"/>
      <c r="C101" s="63"/>
      <c r="D101" s="63"/>
      <c r="E101" s="63"/>
      <c r="F101" s="63"/>
    </row>
    <row r="102" spans="1:6" x14ac:dyDescent="0.3">
      <c r="A102" s="71"/>
      <c r="B102" s="63"/>
      <c r="C102" s="63"/>
      <c r="D102" s="63"/>
      <c r="E102" s="63"/>
      <c r="F102" s="63"/>
    </row>
    <row r="103" spans="1:6" x14ac:dyDescent="0.3">
      <c r="A103" s="71"/>
      <c r="B103" s="63"/>
      <c r="C103" s="63"/>
      <c r="D103" s="63"/>
      <c r="E103" s="63"/>
      <c r="F103" s="63"/>
    </row>
    <row r="104" spans="1:6" x14ac:dyDescent="0.3">
      <c r="A104" s="71"/>
      <c r="B104" s="63"/>
      <c r="C104" s="63"/>
      <c r="D104" s="63"/>
      <c r="E104" s="63"/>
      <c r="F104" s="63"/>
    </row>
    <row r="105" spans="1:6" x14ac:dyDescent="0.3">
      <c r="A105" s="71"/>
      <c r="B105" s="63"/>
      <c r="C105" s="63"/>
      <c r="D105" s="63"/>
      <c r="E105" s="63"/>
      <c r="F105" s="63"/>
    </row>
    <row r="106" spans="1:6" x14ac:dyDescent="0.3">
      <c r="A106" s="71"/>
      <c r="B106" s="63"/>
      <c r="C106" s="63"/>
      <c r="D106" s="63"/>
      <c r="E106" s="63"/>
      <c r="F106" s="63"/>
    </row>
    <row r="107" spans="1:6" x14ac:dyDescent="0.3">
      <c r="A107" s="71"/>
      <c r="B107" s="63"/>
      <c r="C107" s="63"/>
      <c r="D107" s="63"/>
      <c r="E107" s="63"/>
      <c r="F107" s="63"/>
    </row>
    <row r="108" spans="1:6" x14ac:dyDescent="0.3">
      <c r="A108" s="71"/>
      <c r="B108" s="63"/>
      <c r="C108" s="63"/>
      <c r="D108" s="63"/>
      <c r="E108" s="63"/>
      <c r="F108" s="63"/>
    </row>
    <row r="109" spans="1:6" x14ac:dyDescent="0.3">
      <c r="A109" s="71"/>
      <c r="B109" s="63"/>
      <c r="C109" s="63"/>
      <c r="D109" s="63"/>
      <c r="E109" s="63"/>
      <c r="F109" s="63"/>
    </row>
    <row r="110" spans="1:6" x14ac:dyDescent="0.3">
      <c r="A110" s="71"/>
      <c r="B110" s="63"/>
      <c r="C110" s="63"/>
      <c r="D110" s="63"/>
      <c r="E110" s="63"/>
      <c r="F110" s="63"/>
    </row>
    <row r="111" spans="1:6" x14ac:dyDescent="0.3">
      <c r="A111" s="71"/>
      <c r="B111" s="63"/>
      <c r="C111" s="63"/>
      <c r="D111" s="63"/>
      <c r="E111" s="63"/>
      <c r="F111" s="63"/>
    </row>
    <row r="112" spans="1:6" x14ac:dyDescent="0.3">
      <c r="A112" s="71"/>
      <c r="B112" s="63"/>
      <c r="C112" s="63"/>
      <c r="D112" s="63"/>
      <c r="E112" s="63"/>
      <c r="F112" s="63"/>
    </row>
    <row r="113" spans="1:6" x14ac:dyDescent="0.3">
      <c r="A113" s="71"/>
      <c r="B113" s="63"/>
      <c r="C113" s="63"/>
      <c r="D113" s="63"/>
      <c r="E113" s="63"/>
      <c r="F113" s="63"/>
    </row>
    <row r="114" spans="1:6" x14ac:dyDescent="0.3">
      <c r="A114" s="71"/>
      <c r="B114" s="63"/>
      <c r="C114" s="63"/>
      <c r="D114" s="63"/>
      <c r="E114" s="63"/>
      <c r="F114" s="63"/>
    </row>
    <row r="115" spans="1:6" x14ac:dyDescent="0.3">
      <c r="A115" s="71"/>
      <c r="B115" s="63"/>
      <c r="C115" s="63"/>
      <c r="D115" s="63"/>
      <c r="E115" s="63"/>
      <c r="F115" s="63"/>
    </row>
    <row r="116" spans="1:6" x14ac:dyDescent="0.3">
      <c r="A116" s="71"/>
      <c r="B116" s="63"/>
      <c r="C116" s="63"/>
      <c r="D116" s="63"/>
      <c r="E116" s="63"/>
      <c r="F116" s="63"/>
    </row>
    <row r="117" spans="1:6" x14ac:dyDescent="0.3">
      <c r="A117" s="71"/>
      <c r="B117" s="63"/>
      <c r="C117" s="63"/>
      <c r="D117" s="63"/>
      <c r="E117" s="63"/>
      <c r="F117" s="63"/>
    </row>
    <row r="118" spans="1:6" x14ac:dyDescent="0.3">
      <c r="A118" s="71"/>
      <c r="B118" s="63"/>
      <c r="C118" s="63"/>
      <c r="D118" s="63"/>
      <c r="E118" s="63"/>
      <c r="F118" s="63"/>
    </row>
    <row r="119" spans="1:6" x14ac:dyDescent="0.3">
      <c r="A119" s="71"/>
      <c r="B119" s="63"/>
      <c r="C119" s="63"/>
      <c r="D119" s="63"/>
      <c r="E119" s="63"/>
      <c r="F119" s="63"/>
    </row>
    <row r="120" spans="1:6" x14ac:dyDescent="0.3">
      <c r="A120" s="71"/>
      <c r="B120" s="63"/>
      <c r="C120" s="63"/>
      <c r="D120" s="63"/>
      <c r="E120" s="63"/>
      <c r="F120" s="63"/>
    </row>
    <row r="121" spans="1:6" x14ac:dyDescent="0.3">
      <c r="A121" s="71"/>
      <c r="B121" s="63"/>
      <c r="C121" s="63"/>
      <c r="D121" s="63"/>
      <c r="E121" s="63"/>
      <c r="F121" s="63"/>
    </row>
    <row r="122" spans="1:6" x14ac:dyDescent="0.3">
      <c r="A122" s="71"/>
      <c r="B122" s="63"/>
      <c r="C122" s="63"/>
      <c r="D122" s="63"/>
      <c r="E122" s="63"/>
      <c r="F122" s="63"/>
    </row>
    <row r="123" spans="1:6" x14ac:dyDescent="0.3">
      <c r="A123" s="71"/>
      <c r="B123" s="63"/>
      <c r="C123" s="63"/>
      <c r="D123" s="63"/>
      <c r="E123" s="63"/>
      <c r="F123" s="63"/>
    </row>
    <row r="124" spans="1:6" x14ac:dyDescent="0.3">
      <c r="A124" s="71"/>
      <c r="B124" s="63"/>
      <c r="C124" s="63"/>
      <c r="D124" s="63"/>
      <c r="E124" s="63"/>
      <c r="F124" s="63"/>
    </row>
    <row r="125" spans="1:6" x14ac:dyDescent="0.3">
      <c r="A125" s="71"/>
      <c r="B125" s="63"/>
      <c r="C125" s="63"/>
      <c r="D125" s="63"/>
      <c r="E125" s="63"/>
      <c r="F125" s="63"/>
    </row>
    <row r="126" spans="1:6" x14ac:dyDescent="0.3">
      <c r="A126" s="71"/>
      <c r="B126" s="63"/>
      <c r="C126" s="63"/>
      <c r="D126" s="63"/>
      <c r="E126" s="63"/>
      <c r="F126" s="63"/>
    </row>
    <row r="127" spans="1:6" x14ac:dyDescent="0.3">
      <c r="A127" s="71"/>
      <c r="B127" s="63"/>
      <c r="C127" s="63"/>
      <c r="D127" s="63"/>
      <c r="E127" s="63"/>
      <c r="F127" s="63"/>
    </row>
    <row r="128" spans="1:6" x14ac:dyDescent="0.3">
      <c r="A128" s="71"/>
      <c r="B128" s="63"/>
      <c r="C128" s="63"/>
      <c r="D128" s="63"/>
      <c r="E128" s="63"/>
      <c r="F128" s="63"/>
    </row>
    <row r="129" spans="1:6" x14ac:dyDescent="0.3">
      <c r="A129" s="71"/>
      <c r="B129" s="63"/>
      <c r="C129" s="63"/>
      <c r="D129" s="63"/>
      <c r="E129" s="63"/>
      <c r="F129" s="63"/>
    </row>
    <row r="130" spans="1:6" x14ac:dyDescent="0.3">
      <c r="A130" s="71"/>
      <c r="B130" s="63"/>
      <c r="C130" s="63"/>
      <c r="D130" s="63"/>
      <c r="E130" s="63"/>
      <c r="F130" s="63"/>
    </row>
    <row r="131" spans="1:6" x14ac:dyDescent="0.3">
      <c r="A131" s="71"/>
      <c r="B131" s="63"/>
      <c r="C131" s="63"/>
      <c r="D131" s="63"/>
      <c r="E131" s="63"/>
      <c r="F131" s="63"/>
    </row>
    <row r="132" spans="1:6" x14ac:dyDescent="0.3">
      <c r="A132" s="71"/>
      <c r="B132" s="63"/>
      <c r="C132" s="63"/>
      <c r="D132" s="63"/>
      <c r="E132" s="63"/>
      <c r="F132" s="63"/>
    </row>
    <row r="133" spans="1:6" x14ac:dyDescent="0.3">
      <c r="A133" s="71"/>
      <c r="B133" s="63"/>
      <c r="C133" s="63"/>
      <c r="D133" s="63"/>
      <c r="E133" s="63"/>
      <c r="F133" s="63"/>
    </row>
    <row r="134" spans="1:6" x14ac:dyDescent="0.3">
      <c r="A134" s="71"/>
      <c r="B134" s="63"/>
      <c r="C134" s="63"/>
      <c r="D134" s="63"/>
      <c r="E134" s="63"/>
      <c r="F134" s="63"/>
    </row>
    <row r="135" spans="1:6" x14ac:dyDescent="0.3">
      <c r="A135" s="71"/>
      <c r="B135" s="63"/>
      <c r="C135" s="63"/>
      <c r="D135" s="63"/>
      <c r="E135" s="63"/>
      <c r="F135" s="63"/>
    </row>
    <row r="136" spans="1:6" x14ac:dyDescent="0.3">
      <c r="A136" s="71"/>
      <c r="B136" s="63"/>
      <c r="C136" s="63"/>
      <c r="D136" s="63"/>
      <c r="E136" s="63"/>
      <c r="F136" s="63"/>
    </row>
    <row r="137" spans="1:6" x14ac:dyDescent="0.3">
      <c r="A137" s="71"/>
      <c r="B137" s="63"/>
      <c r="C137" s="63"/>
      <c r="D137" s="63"/>
      <c r="E137" s="63"/>
      <c r="F137" s="63"/>
    </row>
    <row r="138" spans="1:6" x14ac:dyDescent="0.3">
      <c r="A138" s="71"/>
      <c r="B138" s="63"/>
      <c r="C138" s="63"/>
      <c r="D138" s="63"/>
      <c r="E138" s="63"/>
      <c r="F138" s="63"/>
    </row>
    <row r="139" spans="1:6" x14ac:dyDescent="0.3">
      <c r="A139" s="71"/>
      <c r="B139" s="63"/>
      <c r="C139" s="63"/>
      <c r="D139" s="63"/>
      <c r="E139" s="63"/>
      <c r="F139" s="63"/>
    </row>
    <row r="140" spans="1:6" x14ac:dyDescent="0.3">
      <c r="A140" s="71"/>
      <c r="B140" s="63"/>
      <c r="C140" s="63"/>
      <c r="D140" s="63"/>
      <c r="E140" s="63"/>
      <c r="F140" s="63"/>
    </row>
    <row r="141" spans="1:6" x14ac:dyDescent="0.3">
      <c r="A141" s="71"/>
      <c r="B141" s="63"/>
      <c r="C141" s="63"/>
      <c r="D141" s="63"/>
      <c r="E141" s="63"/>
      <c r="F141" s="63"/>
    </row>
    <row r="142" spans="1:6" x14ac:dyDescent="0.3">
      <c r="A142" s="71"/>
      <c r="B142" s="63"/>
      <c r="C142" s="63"/>
      <c r="D142" s="63"/>
      <c r="E142" s="63"/>
      <c r="F142" s="63"/>
    </row>
    <row r="143" spans="1:6" x14ac:dyDescent="0.3">
      <c r="A143" s="71"/>
      <c r="B143" s="63"/>
      <c r="C143" s="63"/>
      <c r="D143" s="63"/>
      <c r="E143" s="63"/>
      <c r="F143" s="63"/>
    </row>
    <row r="144" spans="1:6" x14ac:dyDescent="0.3">
      <c r="A144" s="71"/>
      <c r="B144" s="63"/>
      <c r="C144" s="63"/>
      <c r="D144" s="63"/>
      <c r="E144" s="63"/>
      <c r="F144" s="63"/>
    </row>
    <row r="145" spans="1:6" x14ac:dyDescent="0.3">
      <c r="A145" s="71"/>
      <c r="B145" s="63"/>
      <c r="C145" s="63"/>
      <c r="D145" s="63"/>
      <c r="E145" s="63"/>
      <c r="F145" s="63"/>
    </row>
    <row r="146" spans="1:6" x14ac:dyDescent="0.3">
      <c r="A146" s="71"/>
      <c r="B146" s="63"/>
      <c r="C146" s="63"/>
      <c r="D146" s="63"/>
      <c r="E146" s="63"/>
      <c r="F146" s="63"/>
    </row>
    <row r="147" spans="1:6" x14ac:dyDescent="0.3">
      <c r="A147" s="71"/>
      <c r="B147" s="63"/>
      <c r="C147" s="63"/>
      <c r="D147" s="63"/>
      <c r="E147" s="63"/>
      <c r="F147" s="63"/>
    </row>
    <row r="148" spans="1:6" x14ac:dyDescent="0.3">
      <c r="A148" s="71"/>
      <c r="B148" s="63"/>
      <c r="C148" s="63"/>
      <c r="D148" s="63"/>
      <c r="E148" s="63"/>
      <c r="F148" s="63"/>
    </row>
    <row r="149" spans="1:6" x14ac:dyDescent="0.3">
      <c r="A149" s="71"/>
      <c r="B149" s="63"/>
      <c r="C149" s="63"/>
      <c r="D149" s="63"/>
      <c r="E149" s="63"/>
      <c r="F149" s="63"/>
    </row>
    <row r="150" spans="1:6" x14ac:dyDescent="0.3">
      <c r="A150" s="71"/>
      <c r="B150" s="63"/>
      <c r="C150" s="63"/>
      <c r="D150" s="63"/>
      <c r="E150" s="63"/>
      <c r="F150" s="63"/>
    </row>
    <row r="151" spans="1:6" x14ac:dyDescent="0.3">
      <c r="A151" s="71"/>
      <c r="B151" s="63"/>
      <c r="C151" s="63"/>
      <c r="D151" s="63"/>
      <c r="E151" s="63"/>
      <c r="F151" s="63"/>
    </row>
    <row r="152" spans="1:6" x14ac:dyDescent="0.3">
      <c r="A152" s="71"/>
      <c r="B152" s="63"/>
      <c r="C152" s="63"/>
      <c r="D152" s="63"/>
      <c r="E152" s="63"/>
      <c r="F152" s="63"/>
    </row>
    <row r="153" spans="1:6" x14ac:dyDescent="0.3">
      <c r="A153" s="71"/>
      <c r="B153" s="63"/>
      <c r="C153" s="63"/>
      <c r="D153" s="63"/>
      <c r="E153" s="63"/>
      <c r="F153" s="63"/>
    </row>
    <row r="154" spans="1:6" x14ac:dyDescent="0.3">
      <c r="A154" s="71"/>
      <c r="B154" s="63"/>
      <c r="C154" s="63"/>
      <c r="D154" s="63"/>
      <c r="E154" s="63"/>
      <c r="F154" s="63"/>
    </row>
    <row r="155" spans="1:6" x14ac:dyDescent="0.3">
      <c r="A155" s="71"/>
      <c r="B155" s="63"/>
      <c r="C155" s="63"/>
      <c r="D155" s="63"/>
      <c r="E155" s="63"/>
      <c r="F155" s="63"/>
    </row>
    <row r="156" spans="1:6" x14ac:dyDescent="0.3">
      <c r="A156" s="71"/>
      <c r="B156" s="63"/>
      <c r="C156" s="63"/>
      <c r="D156" s="63"/>
      <c r="E156" s="63"/>
      <c r="F156" s="63"/>
    </row>
    <row r="157" spans="1:6" x14ac:dyDescent="0.3">
      <c r="A157" s="71"/>
      <c r="B157" s="63"/>
      <c r="C157" s="63"/>
      <c r="D157" s="63"/>
      <c r="E157" s="63"/>
      <c r="F157" s="63"/>
    </row>
    <row r="158" spans="1:6" x14ac:dyDescent="0.3">
      <c r="A158" s="71"/>
      <c r="B158" s="63"/>
      <c r="C158" s="63"/>
      <c r="D158" s="63"/>
      <c r="E158" s="63"/>
      <c r="F158" s="63"/>
    </row>
    <row r="159" spans="1:6" x14ac:dyDescent="0.3">
      <c r="A159" s="71"/>
      <c r="B159" s="63"/>
      <c r="C159" s="63"/>
      <c r="D159" s="63"/>
      <c r="E159" s="63"/>
      <c r="F159" s="63"/>
    </row>
    <row r="160" spans="1:6" x14ac:dyDescent="0.3">
      <c r="A160" s="71"/>
      <c r="B160" s="63"/>
      <c r="C160" s="63"/>
      <c r="D160" s="63"/>
      <c r="E160" s="63"/>
      <c r="F160" s="63"/>
    </row>
    <row r="161" spans="1:6" x14ac:dyDescent="0.3">
      <c r="A161" s="71"/>
      <c r="B161" s="63"/>
      <c r="C161" s="63"/>
      <c r="D161" s="63"/>
      <c r="E161" s="63"/>
      <c r="F161" s="63"/>
    </row>
    <row r="162" spans="1:6" x14ac:dyDescent="0.3">
      <c r="A162" s="71"/>
      <c r="B162" s="63"/>
      <c r="C162" s="63"/>
      <c r="D162" s="63"/>
      <c r="E162" s="63"/>
      <c r="F162" s="63"/>
    </row>
    <row r="163" spans="1:6" x14ac:dyDescent="0.3">
      <c r="A163" s="71"/>
      <c r="B163" s="63"/>
      <c r="C163" s="63"/>
      <c r="D163" s="63"/>
      <c r="E163" s="63"/>
      <c r="F163" s="63"/>
    </row>
    <row r="164" spans="1:6" x14ac:dyDescent="0.3">
      <c r="A164" s="71"/>
      <c r="B164" s="63"/>
      <c r="C164" s="63"/>
      <c r="D164" s="63"/>
      <c r="E164" s="63"/>
      <c r="F164" s="63"/>
    </row>
    <row r="165" spans="1:6" x14ac:dyDescent="0.3">
      <c r="A165" s="71"/>
      <c r="B165" s="63"/>
      <c r="C165" s="63"/>
      <c r="D165" s="63"/>
      <c r="E165" s="63"/>
      <c r="F165" s="63"/>
    </row>
    <row r="166" spans="1:6" x14ac:dyDescent="0.3">
      <c r="A166" s="71"/>
      <c r="B166" s="63"/>
      <c r="C166" s="63"/>
      <c r="D166" s="63"/>
      <c r="E166" s="63"/>
      <c r="F166" s="63"/>
    </row>
    <row r="167" spans="1:6" x14ac:dyDescent="0.3">
      <c r="A167" s="71"/>
      <c r="B167" s="63"/>
      <c r="C167" s="63"/>
      <c r="D167" s="63"/>
      <c r="E167" s="63"/>
      <c r="F167" s="63"/>
    </row>
    <row r="168" spans="1:6" x14ac:dyDescent="0.3">
      <c r="A168" s="71"/>
      <c r="B168" s="63"/>
      <c r="C168" s="63"/>
      <c r="D168" s="63"/>
      <c r="E168" s="63"/>
      <c r="F168" s="63"/>
    </row>
    <row r="169" spans="1:6" x14ac:dyDescent="0.3">
      <c r="A169" s="71"/>
      <c r="B169" s="63"/>
      <c r="C169" s="63"/>
      <c r="D169" s="63"/>
      <c r="E169" s="63"/>
      <c r="F169" s="63"/>
    </row>
    <row r="170" spans="1:6" x14ac:dyDescent="0.3">
      <c r="A170" s="71"/>
      <c r="B170" s="63"/>
      <c r="C170" s="63"/>
      <c r="D170" s="63"/>
      <c r="E170" s="63"/>
      <c r="F170" s="63"/>
    </row>
    <row r="171" spans="1:6" x14ac:dyDescent="0.3">
      <c r="A171" s="71"/>
      <c r="B171" s="63"/>
      <c r="C171" s="63"/>
      <c r="D171" s="63"/>
      <c r="E171" s="63"/>
      <c r="F171" s="63"/>
    </row>
    <row r="172" spans="1:6" x14ac:dyDescent="0.3">
      <c r="A172" s="71"/>
      <c r="B172" s="63"/>
      <c r="C172" s="63"/>
      <c r="D172" s="63"/>
      <c r="E172" s="63"/>
      <c r="F172" s="63"/>
    </row>
    <row r="173" spans="1:6" x14ac:dyDescent="0.3">
      <c r="A173" s="71"/>
      <c r="B173" s="63"/>
      <c r="C173" s="63"/>
      <c r="D173" s="63"/>
      <c r="E173" s="63"/>
      <c r="F173" s="63"/>
    </row>
    <row r="174" spans="1:6" x14ac:dyDescent="0.3">
      <c r="A174" s="67"/>
      <c r="B174" s="66"/>
      <c r="C174" s="63"/>
      <c r="D174" s="63"/>
      <c r="E174" s="63"/>
      <c r="F174" s="63"/>
    </row>
    <row r="175" spans="1:6" x14ac:dyDescent="0.3">
      <c r="A175" s="67"/>
      <c r="B175" s="66"/>
      <c r="C175" s="63"/>
      <c r="D175" s="63"/>
      <c r="E175" s="63"/>
      <c r="F175" s="63"/>
    </row>
    <row r="176" spans="1:6" x14ac:dyDescent="0.3">
      <c r="A176" s="67"/>
      <c r="B176" s="66"/>
      <c r="C176" s="63"/>
      <c r="D176" s="63"/>
      <c r="E176" s="63"/>
      <c r="F176" s="63"/>
    </row>
    <row r="177" spans="1:6" x14ac:dyDescent="0.3">
      <c r="A177" s="67"/>
      <c r="B177" s="66"/>
      <c r="C177" s="63"/>
      <c r="D177" s="63"/>
      <c r="E177" s="63"/>
      <c r="F177" s="63"/>
    </row>
    <row r="178" spans="1:6" x14ac:dyDescent="0.3">
      <c r="A178" s="67"/>
      <c r="B178" s="66"/>
      <c r="C178" s="63"/>
      <c r="D178" s="63"/>
      <c r="E178" s="63"/>
      <c r="F178" s="63"/>
    </row>
    <row r="179" spans="1:6" x14ac:dyDescent="0.3">
      <c r="A179" s="67"/>
      <c r="B179" s="66"/>
      <c r="C179" s="63"/>
      <c r="D179" s="63"/>
      <c r="E179" s="63"/>
      <c r="F179" s="63"/>
    </row>
    <row r="180" spans="1:6" x14ac:dyDescent="0.3">
      <c r="A180" s="67"/>
      <c r="B180" s="66"/>
      <c r="C180" s="63"/>
      <c r="D180" s="63"/>
      <c r="E180" s="63"/>
      <c r="F180" s="63"/>
    </row>
    <row r="181" spans="1:6" x14ac:dyDescent="0.3">
      <c r="A181" s="67"/>
      <c r="B181" s="66"/>
      <c r="C181" s="63"/>
      <c r="D181" s="63"/>
      <c r="E181" s="63"/>
      <c r="F181" s="63"/>
    </row>
    <row r="182" spans="1:6" x14ac:dyDescent="0.3">
      <c r="A182" s="67"/>
      <c r="B182" s="66"/>
      <c r="C182" s="63"/>
      <c r="D182" s="63"/>
      <c r="E182" s="63"/>
      <c r="F182" s="63"/>
    </row>
    <row r="183" spans="1:6" x14ac:dyDescent="0.3">
      <c r="A183" s="67"/>
      <c r="B183" s="66"/>
      <c r="C183" s="63"/>
      <c r="D183" s="63"/>
      <c r="E183" s="63"/>
      <c r="F183" s="63"/>
    </row>
    <row r="184" spans="1:6" x14ac:dyDescent="0.3">
      <c r="A184" s="67"/>
      <c r="B184" s="66"/>
      <c r="C184" s="63"/>
      <c r="D184" s="63"/>
      <c r="E184" s="63"/>
      <c r="F184" s="63"/>
    </row>
    <row r="185" spans="1:6" x14ac:dyDescent="0.3">
      <c r="A185" s="67"/>
      <c r="B185" s="66"/>
      <c r="C185" s="63"/>
      <c r="D185" s="63"/>
      <c r="E185" s="63"/>
      <c r="F185" s="63"/>
    </row>
    <row r="186" spans="1:6" x14ac:dyDescent="0.3">
      <c r="A186" s="67"/>
      <c r="B186" s="66"/>
      <c r="C186" s="63"/>
      <c r="D186" s="63"/>
      <c r="E186" s="63"/>
      <c r="F186" s="63"/>
    </row>
    <row r="187" spans="1:6" x14ac:dyDescent="0.3">
      <c r="A187" s="67"/>
      <c r="B187" s="66"/>
      <c r="C187" s="63"/>
      <c r="D187" s="63"/>
      <c r="E187" s="63"/>
      <c r="F187" s="63"/>
    </row>
    <row r="188" spans="1:6" x14ac:dyDescent="0.3">
      <c r="A188" s="71"/>
      <c r="B188" s="63"/>
      <c r="C188" s="63"/>
      <c r="D188" s="63"/>
      <c r="E188" s="63"/>
      <c r="F188" s="63"/>
    </row>
    <row r="189" spans="1:6" x14ac:dyDescent="0.3">
      <c r="A189" s="71"/>
      <c r="B189" s="63"/>
      <c r="C189" s="63"/>
      <c r="D189" s="63"/>
      <c r="E189" s="63"/>
      <c r="F189" s="63"/>
    </row>
    <row r="190" spans="1:6" x14ac:dyDescent="0.3">
      <c r="A190" s="71"/>
      <c r="B190" s="63"/>
      <c r="C190" s="63"/>
      <c r="D190" s="63"/>
      <c r="E190" s="63"/>
      <c r="F190" s="63"/>
    </row>
    <row r="191" spans="1:6" x14ac:dyDescent="0.3">
      <c r="A191" s="71"/>
      <c r="B191" s="63"/>
      <c r="C191" s="63"/>
      <c r="D191" s="63"/>
      <c r="E191" s="63"/>
      <c r="F191" s="63"/>
    </row>
    <row r="192" spans="1:6" x14ac:dyDescent="0.3">
      <c r="A192" s="71"/>
      <c r="B192" s="63"/>
      <c r="C192" s="63"/>
      <c r="D192" s="63"/>
      <c r="E192" s="63"/>
      <c r="F192" s="63"/>
    </row>
    <row r="193" spans="1:6" x14ac:dyDescent="0.3">
      <c r="A193" s="71"/>
      <c r="B193" s="63"/>
      <c r="C193" s="63"/>
      <c r="D193" s="63"/>
      <c r="E193" s="63"/>
      <c r="F193" s="63"/>
    </row>
    <row r="194" spans="1:6" x14ac:dyDescent="0.3">
      <c r="A194" s="71"/>
      <c r="B194" s="63"/>
      <c r="C194" s="63"/>
      <c r="D194" s="63"/>
      <c r="E194" s="63"/>
      <c r="F194" s="63"/>
    </row>
    <row r="195" spans="1:6" x14ac:dyDescent="0.3">
      <c r="A195" s="71"/>
      <c r="B195" s="63"/>
      <c r="C195" s="63"/>
      <c r="D195" s="63"/>
      <c r="E195" s="63"/>
      <c r="F195" s="63"/>
    </row>
    <row r="196" spans="1:6" x14ac:dyDescent="0.3">
      <c r="A196" s="71"/>
      <c r="B196" s="63"/>
      <c r="C196" s="63"/>
      <c r="D196" s="63"/>
      <c r="E196" s="63"/>
      <c r="F196" s="63"/>
    </row>
    <row r="197" spans="1:6" x14ac:dyDescent="0.3">
      <c r="A197" s="71"/>
      <c r="B197" s="63"/>
      <c r="C197" s="63"/>
      <c r="D197" s="63"/>
      <c r="E197" s="63"/>
      <c r="F197" s="63"/>
    </row>
    <row r="198" spans="1:6" x14ac:dyDescent="0.3">
      <c r="A198" s="71"/>
      <c r="B198" s="63"/>
      <c r="C198" s="63"/>
      <c r="D198" s="63"/>
      <c r="E198" s="63"/>
      <c r="F198" s="63"/>
    </row>
    <row r="199" spans="1:6" x14ac:dyDescent="0.3">
      <c r="A199" s="71"/>
      <c r="B199" s="63"/>
      <c r="C199" s="63"/>
      <c r="D199" s="63"/>
      <c r="E199" s="63"/>
      <c r="F199" s="63"/>
    </row>
    <row r="200" spans="1:6" x14ac:dyDescent="0.3">
      <c r="A200" s="71"/>
      <c r="B200" s="63"/>
      <c r="C200" s="63"/>
      <c r="D200" s="63"/>
      <c r="E200" s="63"/>
      <c r="F200" s="63"/>
    </row>
    <row r="201" spans="1:6" x14ac:dyDescent="0.3">
      <c r="A201" s="71"/>
      <c r="B201" s="63"/>
      <c r="C201" s="63"/>
      <c r="D201" s="63"/>
      <c r="E201" s="63"/>
      <c r="F201" s="63"/>
    </row>
    <row r="202" spans="1:6" x14ac:dyDescent="0.3">
      <c r="A202" s="71"/>
      <c r="B202" s="63"/>
      <c r="C202" s="63"/>
      <c r="D202" s="63"/>
      <c r="E202" s="63"/>
      <c r="F202" s="63"/>
    </row>
    <row r="203" spans="1:6" x14ac:dyDescent="0.3">
      <c r="A203" s="71"/>
      <c r="B203" s="63"/>
      <c r="C203" s="63"/>
      <c r="D203" s="63"/>
      <c r="E203" s="63"/>
      <c r="F203" s="63"/>
    </row>
    <row r="204" spans="1:6" x14ac:dyDescent="0.3">
      <c r="A204" s="71"/>
      <c r="B204" s="63"/>
      <c r="C204" s="63"/>
      <c r="D204" s="63"/>
      <c r="E204" s="63"/>
      <c r="F204" s="63"/>
    </row>
    <row r="205" spans="1:6" x14ac:dyDescent="0.3">
      <c r="A205" s="71"/>
      <c r="B205" s="63"/>
      <c r="C205" s="63"/>
      <c r="D205" s="63"/>
      <c r="E205" s="63"/>
      <c r="F205" s="63"/>
    </row>
    <row r="206" spans="1:6" x14ac:dyDescent="0.3">
      <c r="A206" s="71"/>
      <c r="B206" s="63"/>
      <c r="C206" s="63"/>
      <c r="D206" s="63"/>
      <c r="E206" s="63"/>
      <c r="F206" s="63"/>
    </row>
    <row r="207" spans="1:6" x14ac:dyDescent="0.3">
      <c r="A207" s="71"/>
      <c r="B207" s="63"/>
      <c r="C207" s="63"/>
      <c r="D207" s="63"/>
      <c r="E207" s="63"/>
      <c r="F207" s="63"/>
    </row>
    <row r="208" spans="1:6" x14ac:dyDescent="0.3">
      <c r="A208" s="71"/>
      <c r="B208" s="63"/>
      <c r="C208" s="63"/>
      <c r="D208" s="63"/>
      <c r="E208" s="63"/>
      <c r="F208" s="63"/>
    </row>
    <row r="209" spans="1:6" x14ac:dyDescent="0.3">
      <c r="A209" s="71"/>
      <c r="B209" s="63"/>
      <c r="C209" s="63"/>
      <c r="D209" s="63"/>
      <c r="E209" s="63"/>
      <c r="F209" s="63"/>
    </row>
    <row r="210" spans="1:6" x14ac:dyDescent="0.3">
      <c r="A210" s="71"/>
      <c r="B210" s="63"/>
      <c r="C210" s="63"/>
      <c r="D210" s="63"/>
      <c r="E210" s="63"/>
      <c r="F210" s="63"/>
    </row>
    <row r="211" spans="1:6" x14ac:dyDescent="0.3">
      <c r="A211" s="71"/>
      <c r="B211" s="63"/>
      <c r="C211" s="63"/>
      <c r="D211" s="63"/>
      <c r="E211" s="63"/>
      <c r="F211" s="63"/>
    </row>
    <row r="212" spans="1:6" x14ac:dyDescent="0.3">
      <c r="A212" s="71"/>
      <c r="B212" s="63"/>
      <c r="C212" s="63"/>
      <c r="D212" s="63"/>
      <c r="E212" s="63"/>
      <c r="F212" s="63"/>
    </row>
    <row r="213" spans="1:6" x14ac:dyDescent="0.3">
      <c r="A213" s="71"/>
      <c r="B213" s="63"/>
      <c r="C213" s="63"/>
      <c r="D213" s="63"/>
      <c r="E213" s="63"/>
      <c r="F213" s="63"/>
    </row>
    <row r="214" spans="1:6" x14ac:dyDescent="0.3">
      <c r="A214" s="71"/>
      <c r="B214" s="63"/>
      <c r="C214" s="63"/>
      <c r="D214" s="63"/>
      <c r="E214" s="63"/>
      <c r="F214" s="63"/>
    </row>
    <row r="215" spans="1:6" x14ac:dyDescent="0.3">
      <c r="A215" s="71"/>
      <c r="B215" s="63"/>
      <c r="C215" s="63"/>
      <c r="D215" s="63"/>
      <c r="E215" s="63"/>
      <c r="F215" s="63"/>
    </row>
    <row r="216" spans="1:6" x14ac:dyDescent="0.3">
      <c r="A216" s="71"/>
      <c r="B216" s="63"/>
      <c r="C216" s="63"/>
      <c r="D216" s="63"/>
      <c r="E216" s="63"/>
      <c r="F216" s="63"/>
    </row>
    <row r="217" spans="1:6" x14ac:dyDescent="0.3">
      <c r="A217" s="71"/>
      <c r="B217" s="63"/>
      <c r="C217" s="63"/>
      <c r="D217" s="63"/>
      <c r="E217" s="63"/>
      <c r="F217" s="63"/>
    </row>
    <row r="218" spans="1:6" x14ac:dyDescent="0.3">
      <c r="A218" s="71"/>
      <c r="B218" s="63"/>
      <c r="C218" s="63"/>
      <c r="D218" s="63"/>
      <c r="E218" s="63"/>
      <c r="F218" s="63"/>
    </row>
    <row r="219" spans="1:6" x14ac:dyDescent="0.3">
      <c r="A219" s="71"/>
      <c r="B219" s="63"/>
      <c r="C219" s="63"/>
      <c r="D219" s="63"/>
      <c r="E219" s="63"/>
      <c r="F219" s="63"/>
    </row>
    <row r="220" spans="1:6" x14ac:dyDescent="0.3">
      <c r="A220" s="71"/>
      <c r="B220" s="63"/>
      <c r="C220" s="63"/>
      <c r="D220" s="63"/>
      <c r="E220" s="63"/>
      <c r="F220" s="63"/>
    </row>
    <row r="221" spans="1:6" x14ac:dyDescent="0.3">
      <c r="A221" s="71"/>
      <c r="B221" s="63"/>
      <c r="C221" s="63"/>
      <c r="D221" s="63"/>
      <c r="E221" s="63"/>
      <c r="F221" s="63"/>
    </row>
    <row r="222" spans="1:6" x14ac:dyDescent="0.3">
      <c r="A222" s="71"/>
      <c r="B222" s="63"/>
      <c r="C222" s="63"/>
      <c r="D222" s="63"/>
      <c r="E222" s="63"/>
      <c r="F222" s="63"/>
    </row>
    <row r="223" spans="1:6" x14ac:dyDescent="0.3">
      <c r="A223" s="71"/>
      <c r="B223" s="63"/>
      <c r="C223" s="63"/>
      <c r="D223" s="63"/>
      <c r="E223" s="63"/>
      <c r="F223" s="63"/>
    </row>
    <row r="224" spans="1:6" x14ac:dyDescent="0.3">
      <c r="A224" s="71"/>
      <c r="B224" s="63"/>
      <c r="C224" s="63"/>
      <c r="D224" s="63"/>
      <c r="E224" s="63"/>
      <c r="F224" s="63"/>
    </row>
    <row r="225" spans="1:6" x14ac:dyDescent="0.3">
      <c r="A225" s="71"/>
      <c r="B225" s="63"/>
      <c r="C225" s="63"/>
      <c r="D225" s="63"/>
      <c r="E225" s="63"/>
      <c r="F225" s="63"/>
    </row>
    <row r="226" spans="1:6" x14ac:dyDescent="0.3">
      <c r="A226" s="71"/>
      <c r="B226" s="63"/>
      <c r="C226" s="63"/>
      <c r="D226" s="63"/>
      <c r="E226" s="63"/>
      <c r="F226" s="63"/>
    </row>
    <row r="227" spans="1:6" x14ac:dyDescent="0.3">
      <c r="A227" s="71"/>
      <c r="B227" s="63"/>
      <c r="C227" s="63"/>
      <c r="D227" s="63"/>
      <c r="E227" s="63"/>
      <c r="F227" s="63"/>
    </row>
    <row r="228" spans="1:6" x14ac:dyDescent="0.3">
      <c r="A228" s="71"/>
      <c r="B228" s="63"/>
      <c r="C228" s="63"/>
      <c r="D228" s="63"/>
      <c r="E228" s="63"/>
      <c r="F228" s="63"/>
    </row>
    <row r="229" spans="1:6" x14ac:dyDescent="0.3">
      <c r="A229" s="71"/>
      <c r="B229" s="63"/>
      <c r="C229" s="63"/>
      <c r="D229" s="63"/>
      <c r="E229" s="63"/>
      <c r="F229" s="63"/>
    </row>
    <row r="230" spans="1:6" x14ac:dyDescent="0.3">
      <c r="A230" s="71"/>
      <c r="B230" s="63"/>
      <c r="C230" s="63"/>
      <c r="D230" s="63"/>
      <c r="E230" s="63"/>
      <c r="F230" s="63"/>
    </row>
    <row r="231" spans="1:6" x14ac:dyDescent="0.3">
      <c r="A231" s="71"/>
      <c r="B231" s="63"/>
      <c r="C231" s="63"/>
      <c r="D231" s="63"/>
      <c r="E231" s="63"/>
      <c r="F231" s="63"/>
    </row>
    <row r="232" spans="1:6" x14ac:dyDescent="0.3">
      <c r="A232" s="71"/>
      <c r="B232" s="63"/>
      <c r="C232" s="63"/>
      <c r="D232" s="63"/>
      <c r="E232" s="63"/>
      <c r="F232" s="63"/>
    </row>
    <row r="233" spans="1:6" x14ac:dyDescent="0.3">
      <c r="A233" s="71"/>
      <c r="B233" s="63"/>
      <c r="C233" s="63"/>
      <c r="D233" s="63"/>
      <c r="E233" s="63"/>
      <c r="F233" s="63"/>
    </row>
    <row r="234" spans="1:6" x14ac:dyDescent="0.3">
      <c r="A234" s="71"/>
      <c r="B234" s="63"/>
      <c r="C234" s="63"/>
      <c r="D234" s="63"/>
      <c r="E234" s="63"/>
      <c r="F234" s="63"/>
    </row>
    <row r="235" spans="1:6" x14ac:dyDescent="0.3">
      <c r="A235" s="71"/>
      <c r="B235" s="63"/>
      <c r="C235" s="63"/>
      <c r="D235" s="63"/>
      <c r="E235" s="63"/>
      <c r="F235" s="63"/>
    </row>
    <row r="236" spans="1:6" x14ac:dyDescent="0.3">
      <c r="A236" s="71"/>
      <c r="B236" s="63"/>
      <c r="C236" s="63"/>
      <c r="D236" s="63"/>
      <c r="E236" s="63"/>
      <c r="F236" s="63"/>
    </row>
    <row r="237" spans="1:6" x14ac:dyDescent="0.3">
      <c r="A237" s="71"/>
      <c r="B237" s="63"/>
      <c r="C237" s="63"/>
      <c r="D237" s="63"/>
      <c r="E237" s="63"/>
      <c r="F237" s="63"/>
    </row>
    <row r="238" spans="1:6" x14ac:dyDescent="0.3">
      <c r="A238" s="71"/>
      <c r="B238" s="63"/>
      <c r="C238" s="63"/>
      <c r="D238" s="63"/>
      <c r="E238" s="63"/>
      <c r="F238" s="63"/>
    </row>
    <row r="239" spans="1:6" x14ac:dyDescent="0.3">
      <c r="A239" s="71"/>
      <c r="B239" s="63"/>
      <c r="C239" s="63"/>
      <c r="D239" s="63"/>
      <c r="E239" s="63"/>
      <c r="F239" s="63"/>
    </row>
    <row r="240" spans="1:6" x14ac:dyDescent="0.3">
      <c r="A240" s="71"/>
      <c r="B240" s="63"/>
      <c r="C240" s="63"/>
      <c r="D240" s="63"/>
      <c r="E240" s="63"/>
      <c r="F240" s="63"/>
    </row>
    <row r="241" spans="1:6" x14ac:dyDescent="0.3">
      <c r="A241" s="71"/>
      <c r="B241" s="63"/>
      <c r="C241" s="63"/>
      <c r="D241" s="63"/>
      <c r="E241" s="63"/>
      <c r="F241" s="63"/>
    </row>
    <row r="242" spans="1:6" x14ac:dyDescent="0.3">
      <c r="A242" s="71"/>
      <c r="B242" s="63"/>
      <c r="C242" s="63"/>
      <c r="D242" s="63"/>
      <c r="E242" s="63"/>
      <c r="F242" s="63"/>
    </row>
    <row r="243" spans="1:6" x14ac:dyDescent="0.3">
      <c r="A243" s="71"/>
      <c r="B243" s="63"/>
      <c r="C243" s="63"/>
      <c r="D243" s="63"/>
      <c r="E243" s="63"/>
      <c r="F243" s="63"/>
    </row>
    <row r="244" spans="1:6" x14ac:dyDescent="0.3">
      <c r="A244" s="71"/>
      <c r="B244" s="63"/>
      <c r="C244" s="63"/>
      <c r="D244" s="63"/>
      <c r="E244" s="63"/>
      <c r="F244" s="63"/>
    </row>
    <row r="245" spans="1:6" x14ac:dyDescent="0.3">
      <c r="A245" s="71"/>
      <c r="B245" s="63"/>
      <c r="C245" s="63"/>
      <c r="D245" s="63"/>
      <c r="E245" s="63"/>
      <c r="F245" s="63"/>
    </row>
    <row r="246" spans="1:6" x14ac:dyDescent="0.3">
      <c r="A246" s="71"/>
      <c r="B246" s="63"/>
      <c r="C246" s="63"/>
      <c r="D246" s="63"/>
      <c r="E246" s="63"/>
      <c r="F246" s="63"/>
    </row>
    <row r="247" spans="1:6" x14ac:dyDescent="0.3">
      <c r="A247" s="71"/>
      <c r="B247" s="63"/>
      <c r="C247" s="63"/>
      <c r="D247" s="63"/>
      <c r="E247" s="63"/>
      <c r="F247" s="63"/>
    </row>
    <row r="248" spans="1:6" x14ac:dyDescent="0.3">
      <c r="A248" s="71"/>
      <c r="B248" s="63"/>
      <c r="C248" s="63"/>
      <c r="D248" s="63"/>
      <c r="E248" s="63"/>
      <c r="F248" s="63"/>
    </row>
    <row r="249" spans="1:6" x14ac:dyDescent="0.3">
      <c r="A249" s="71"/>
      <c r="B249" s="63"/>
      <c r="C249" s="63"/>
      <c r="D249" s="63"/>
      <c r="E249" s="63"/>
      <c r="F249" s="63"/>
    </row>
    <row r="250" spans="1:6" x14ac:dyDescent="0.3">
      <c r="A250" s="71"/>
      <c r="B250" s="63"/>
      <c r="C250" s="63"/>
      <c r="D250" s="63"/>
      <c r="E250" s="63"/>
      <c r="F250" s="63"/>
    </row>
    <row r="251" spans="1:6" x14ac:dyDescent="0.3">
      <c r="A251" s="71"/>
      <c r="B251" s="63"/>
      <c r="C251" s="63"/>
      <c r="D251" s="63"/>
      <c r="E251" s="63"/>
      <c r="F251" s="63"/>
    </row>
    <row r="252" spans="1:6" x14ac:dyDescent="0.3">
      <c r="A252" s="71"/>
      <c r="B252" s="63"/>
      <c r="C252" s="63"/>
      <c r="D252" s="63"/>
      <c r="E252" s="63"/>
      <c r="F252" s="63"/>
    </row>
    <row r="253" spans="1:6" x14ac:dyDescent="0.3">
      <c r="A253" s="71"/>
      <c r="B253" s="63"/>
      <c r="C253" s="63"/>
      <c r="D253" s="63"/>
      <c r="E253" s="63"/>
      <c r="F253" s="63"/>
    </row>
    <row r="254" spans="1:6" x14ac:dyDescent="0.3">
      <c r="A254" s="71"/>
      <c r="B254" s="63"/>
      <c r="C254" s="63"/>
      <c r="D254" s="63"/>
      <c r="E254" s="63"/>
      <c r="F254" s="63"/>
    </row>
    <row r="255" spans="1:6" x14ac:dyDescent="0.3">
      <c r="A255" s="71"/>
      <c r="B255" s="63"/>
      <c r="C255" s="63"/>
      <c r="D255" s="63"/>
      <c r="E255" s="63"/>
      <c r="F255" s="63"/>
    </row>
    <row r="256" spans="1:6" x14ac:dyDescent="0.3">
      <c r="A256" s="71"/>
      <c r="B256" s="63"/>
      <c r="C256" s="63"/>
      <c r="D256" s="63"/>
      <c r="E256" s="63"/>
      <c r="F256" s="63"/>
    </row>
    <row r="257" spans="1:6" x14ac:dyDescent="0.3">
      <c r="A257" s="71"/>
      <c r="B257" s="63"/>
      <c r="C257" s="63"/>
      <c r="D257" s="63"/>
      <c r="E257" s="63"/>
      <c r="F257" s="63"/>
    </row>
    <row r="258" spans="1:6" x14ac:dyDescent="0.3">
      <c r="A258" s="71"/>
      <c r="B258" s="63"/>
      <c r="C258" s="63"/>
      <c r="D258" s="63"/>
      <c r="E258" s="63"/>
      <c r="F258" s="63"/>
    </row>
    <row r="259" spans="1:6" x14ac:dyDescent="0.3">
      <c r="A259" s="71"/>
      <c r="B259" s="63"/>
      <c r="C259" s="63"/>
      <c r="D259" s="63"/>
      <c r="E259" s="63"/>
      <c r="F259" s="63"/>
    </row>
    <row r="260" spans="1:6" x14ac:dyDescent="0.3">
      <c r="A260" s="71"/>
      <c r="B260" s="63"/>
      <c r="C260" s="63"/>
      <c r="D260" s="63"/>
      <c r="E260" s="63"/>
      <c r="F260" s="63"/>
    </row>
    <row r="261" spans="1:6" x14ac:dyDescent="0.3">
      <c r="A261" s="71"/>
      <c r="B261" s="63"/>
      <c r="C261" s="63"/>
      <c r="D261" s="63"/>
      <c r="E261" s="63"/>
      <c r="F261" s="63"/>
    </row>
    <row r="262" spans="1:6" x14ac:dyDescent="0.3">
      <c r="A262" s="71"/>
      <c r="B262" s="63"/>
      <c r="C262" s="63"/>
      <c r="D262" s="63"/>
      <c r="E262" s="63"/>
      <c r="F262" s="63"/>
    </row>
    <row r="263" spans="1:6" x14ac:dyDescent="0.3">
      <c r="A263" s="71"/>
      <c r="B263" s="63"/>
      <c r="C263" s="63"/>
      <c r="D263" s="63"/>
      <c r="E263" s="63"/>
      <c r="F263" s="63"/>
    </row>
    <row r="264" spans="1:6" x14ac:dyDescent="0.3">
      <c r="A264" s="71"/>
      <c r="B264" s="63"/>
      <c r="C264" s="63"/>
      <c r="D264" s="63"/>
      <c r="E264" s="63"/>
      <c r="F264" s="63"/>
    </row>
    <row r="265" spans="1:6" x14ac:dyDescent="0.3">
      <c r="A265" s="71"/>
      <c r="B265" s="63"/>
      <c r="C265" s="63"/>
      <c r="D265" s="63"/>
      <c r="E265" s="63"/>
      <c r="F265" s="63"/>
    </row>
    <row r="266" spans="1:6" x14ac:dyDescent="0.3">
      <c r="A266" s="71"/>
      <c r="B266" s="63"/>
      <c r="C266" s="63"/>
      <c r="D266" s="63"/>
      <c r="E266" s="63"/>
      <c r="F266" s="63"/>
    </row>
    <row r="267" spans="1:6" x14ac:dyDescent="0.3">
      <c r="A267" s="71"/>
      <c r="B267" s="63"/>
      <c r="C267" s="63"/>
      <c r="D267" s="63"/>
      <c r="E267" s="63"/>
      <c r="F267" s="63"/>
    </row>
    <row r="268" spans="1:6" x14ac:dyDescent="0.3">
      <c r="A268" s="71"/>
      <c r="B268" s="63"/>
      <c r="C268" s="63"/>
      <c r="D268" s="63"/>
      <c r="E268" s="63"/>
      <c r="F268" s="63"/>
    </row>
    <row r="269" spans="1:6" x14ac:dyDescent="0.3">
      <c r="A269" s="71"/>
      <c r="B269" s="63"/>
      <c r="C269" s="63"/>
      <c r="D269" s="63"/>
      <c r="E269" s="63"/>
      <c r="F269" s="63"/>
    </row>
    <row r="270" spans="1:6" x14ac:dyDescent="0.3">
      <c r="A270" s="71"/>
      <c r="B270" s="63"/>
      <c r="C270" s="63"/>
      <c r="D270" s="63"/>
      <c r="E270" s="63"/>
      <c r="F270" s="63"/>
    </row>
    <row r="271" spans="1:6" x14ac:dyDescent="0.3">
      <c r="A271" s="71"/>
      <c r="B271" s="63"/>
      <c r="C271" s="63"/>
      <c r="D271" s="63"/>
      <c r="E271" s="63"/>
      <c r="F271" s="63"/>
    </row>
    <row r="272" spans="1:6" x14ac:dyDescent="0.3">
      <c r="A272" s="71"/>
      <c r="B272" s="63"/>
      <c r="C272" s="63"/>
      <c r="D272" s="63"/>
      <c r="E272" s="63"/>
      <c r="F272" s="63"/>
    </row>
    <row r="273" spans="1:6" x14ac:dyDescent="0.3">
      <c r="A273" s="71"/>
      <c r="B273" s="63"/>
      <c r="C273" s="63"/>
      <c r="D273" s="63"/>
      <c r="E273" s="63"/>
      <c r="F273" s="63"/>
    </row>
    <row r="274" spans="1:6" x14ac:dyDescent="0.3">
      <c r="A274" s="71"/>
      <c r="B274" s="63"/>
      <c r="C274" s="63"/>
      <c r="D274" s="63"/>
      <c r="E274" s="63"/>
      <c r="F274" s="63"/>
    </row>
    <row r="275" spans="1:6" x14ac:dyDescent="0.3">
      <c r="A275" s="71"/>
      <c r="B275" s="63"/>
      <c r="C275" s="63"/>
      <c r="D275" s="63"/>
      <c r="E275" s="63"/>
      <c r="F275" s="63"/>
    </row>
    <row r="276" spans="1:6" x14ac:dyDescent="0.3">
      <c r="A276" s="71"/>
      <c r="B276" s="63"/>
      <c r="C276" s="63"/>
      <c r="D276" s="63"/>
      <c r="E276" s="63"/>
      <c r="F276" s="63"/>
    </row>
    <row r="277" spans="1:6" x14ac:dyDescent="0.3">
      <c r="A277" s="71"/>
      <c r="B277" s="63"/>
      <c r="C277" s="63"/>
      <c r="D277" s="63"/>
      <c r="E277" s="63"/>
      <c r="F277" s="63"/>
    </row>
    <row r="278" spans="1:6" x14ac:dyDescent="0.3">
      <c r="A278" s="71"/>
      <c r="B278" s="63"/>
      <c r="C278" s="63"/>
      <c r="D278" s="63"/>
      <c r="E278" s="63"/>
      <c r="F278" s="63"/>
    </row>
    <row r="279" spans="1:6" x14ac:dyDescent="0.3">
      <c r="A279" s="71"/>
      <c r="B279" s="63"/>
      <c r="C279" s="63"/>
      <c r="D279" s="63"/>
      <c r="E279" s="63"/>
      <c r="F279" s="63"/>
    </row>
    <row r="280" spans="1:6" x14ac:dyDescent="0.3">
      <c r="A280" s="71"/>
      <c r="B280" s="63"/>
      <c r="C280" s="63"/>
      <c r="D280" s="63"/>
      <c r="E280" s="63"/>
      <c r="F280" s="63"/>
    </row>
    <row r="281" spans="1:6" x14ac:dyDescent="0.3">
      <c r="A281" s="71"/>
      <c r="B281" s="63"/>
      <c r="C281" s="63"/>
      <c r="D281" s="63"/>
      <c r="E281" s="63"/>
      <c r="F281" s="63"/>
    </row>
    <row r="282" spans="1:6" x14ac:dyDescent="0.3">
      <c r="A282" s="71"/>
      <c r="B282" s="63"/>
      <c r="C282" s="63"/>
      <c r="D282" s="63"/>
      <c r="E282" s="63"/>
      <c r="F282" s="63"/>
    </row>
    <row r="283" spans="1:6" x14ac:dyDescent="0.3">
      <c r="A283" s="71"/>
      <c r="B283" s="63"/>
      <c r="C283" s="63"/>
      <c r="D283" s="63"/>
      <c r="E283" s="63"/>
      <c r="F283" s="63"/>
    </row>
    <row r="284" spans="1:6" x14ac:dyDescent="0.3">
      <c r="A284" s="71"/>
      <c r="B284" s="63"/>
      <c r="C284" s="63"/>
      <c r="D284" s="63"/>
      <c r="E284" s="63"/>
      <c r="F284" s="63"/>
    </row>
    <row r="285" spans="1:6" x14ac:dyDescent="0.3">
      <c r="A285" s="71"/>
      <c r="B285" s="63"/>
      <c r="C285" s="63"/>
      <c r="D285" s="63"/>
      <c r="E285" s="63"/>
      <c r="F285" s="63"/>
    </row>
    <row r="286" spans="1:6" x14ac:dyDescent="0.3">
      <c r="A286" s="71"/>
      <c r="B286" s="63"/>
      <c r="C286" s="63"/>
      <c r="D286" s="63"/>
      <c r="E286" s="63"/>
      <c r="F286" s="63"/>
    </row>
    <row r="287" spans="1:6" x14ac:dyDescent="0.3">
      <c r="A287" s="71"/>
      <c r="B287" s="63"/>
      <c r="C287" s="63"/>
      <c r="D287" s="63"/>
      <c r="E287" s="63"/>
      <c r="F287" s="63"/>
    </row>
    <row r="288" spans="1:6" x14ac:dyDescent="0.3">
      <c r="A288" s="71"/>
      <c r="B288" s="63"/>
      <c r="C288" s="63"/>
      <c r="D288" s="63"/>
      <c r="E288" s="63"/>
      <c r="F288" s="63"/>
    </row>
    <row r="289" spans="1:6" x14ac:dyDescent="0.3">
      <c r="A289" s="71"/>
      <c r="B289" s="63"/>
      <c r="C289" s="63"/>
      <c r="D289" s="63"/>
      <c r="E289" s="63"/>
      <c r="F289" s="63"/>
    </row>
    <row r="290" spans="1:6" x14ac:dyDescent="0.3">
      <c r="A290" s="71"/>
      <c r="B290" s="63"/>
      <c r="C290" s="63"/>
      <c r="D290" s="63"/>
      <c r="E290" s="63"/>
      <c r="F290" s="63"/>
    </row>
    <row r="291" spans="1:6" x14ac:dyDescent="0.3">
      <c r="A291" s="71"/>
      <c r="B291" s="63"/>
      <c r="C291" s="63"/>
      <c r="D291" s="63"/>
      <c r="E291" s="63"/>
      <c r="F291" s="63"/>
    </row>
    <row r="292" spans="1:6" x14ac:dyDescent="0.3">
      <c r="A292" s="71"/>
      <c r="B292" s="63"/>
      <c r="C292" s="63"/>
      <c r="D292" s="63"/>
      <c r="E292" s="63"/>
      <c r="F292" s="63"/>
    </row>
    <row r="293" spans="1:6" x14ac:dyDescent="0.3">
      <c r="A293" s="71"/>
      <c r="B293" s="63"/>
      <c r="C293" s="63"/>
      <c r="D293" s="63"/>
      <c r="E293" s="63"/>
      <c r="F293" s="63"/>
    </row>
    <row r="294" spans="1:6" x14ac:dyDescent="0.3">
      <c r="A294" s="71"/>
      <c r="B294" s="63"/>
      <c r="C294" s="63"/>
      <c r="D294" s="63"/>
      <c r="E294" s="63"/>
      <c r="F294" s="63"/>
    </row>
    <row r="295" spans="1:6" x14ac:dyDescent="0.3">
      <c r="A295" s="71"/>
      <c r="B295" s="63"/>
      <c r="C295" s="63"/>
      <c r="D295" s="63"/>
      <c r="E295" s="63"/>
      <c r="F295" s="63"/>
    </row>
    <row r="296" spans="1:6" x14ac:dyDescent="0.3">
      <c r="A296" s="71"/>
      <c r="B296" s="63"/>
      <c r="C296" s="63"/>
      <c r="D296" s="63"/>
      <c r="E296" s="63"/>
      <c r="F296" s="63"/>
    </row>
    <row r="297" spans="1:6" x14ac:dyDescent="0.3">
      <c r="A297" s="71"/>
      <c r="B297" s="63"/>
      <c r="C297" s="63"/>
      <c r="D297" s="63"/>
      <c r="E297" s="63"/>
      <c r="F297" s="63"/>
    </row>
    <row r="298" spans="1:6" x14ac:dyDescent="0.3">
      <c r="A298" s="71"/>
      <c r="B298" s="63"/>
      <c r="C298" s="63"/>
      <c r="D298" s="63"/>
      <c r="E298" s="63"/>
      <c r="F298" s="63"/>
    </row>
    <row r="299" spans="1:6" x14ac:dyDescent="0.3">
      <c r="A299" s="71"/>
      <c r="B299" s="63"/>
      <c r="C299" s="63"/>
      <c r="D299" s="63"/>
      <c r="E299" s="63"/>
      <c r="F299" s="63"/>
    </row>
    <row r="300" spans="1:6" x14ac:dyDescent="0.3">
      <c r="A300" s="71"/>
      <c r="B300" s="63"/>
      <c r="C300" s="63"/>
      <c r="D300" s="63"/>
      <c r="E300" s="63"/>
      <c r="F300" s="63"/>
    </row>
    <row r="301" spans="1:6" x14ac:dyDescent="0.3">
      <c r="A301" s="71"/>
      <c r="B301" s="63"/>
      <c r="C301" s="63"/>
      <c r="D301" s="63"/>
      <c r="E301" s="63"/>
      <c r="F301" s="63"/>
    </row>
    <row r="302" spans="1:6" x14ac:dyDescent="0.3">
      <c r="A302" s="71"/>
      <c r="B302" s="63"/>
      <c r="C302" s="63"/>
      <c r="D302" s="63"/>
      <c r="E302" s="63"/>
      <c r="F302" s="63"/>
    </row>
    <row r="303" spans="1:6" x14ac:dyDescent="0.3">
      <c r="A303" s="71"/>
      <c r="B303" s="63"/>
      <c r="C303" s="63"/>
      <c r="D303" s="63"/>
      <c r="E303" s="63"/>
      <c r="F303" s="63"/>
    </row>
    <row r="304" spans="1:6" x14ac:dyDescent="0.3">
      <c r="A304" s="71"/>
      <c r="B304" s="63"/>
      <c r="C304" s="63"/>
      <c r="D304" s="63"/>
      <c r="E304" s="63"/>
      <c r="F304" s="63"/>
    </row>
    <row r="305" spans="1:6" x14ac:dyDescent="0.3">
      <c r="A305" s="71"/>
      <c r="B305" s="63"/>
      <c r="C305" s="63"/>
      <c r="D305" s="63"/>
      <c r="E305" s="63"/>
      <c r="F305" s="63"/>
    </row>
    <row r="306" spans="1:6" x14ac:dyDescent="0.3">
      <c r="A306" s="71"/>
      <c r="B306" s="63"/>
      <c r="C306" s="63"/>
      <c r="D306" s="63"/>
      <c r="E306" s="63"/>
      <c r="F306" s="63"/>
    </row>
    <row r="307" spans="1:6" x14ac:dyDescent="0.3">
      <c r="A307" s="71"/>
      <c r="B307" s="63"/>
      <c r="C307" s="63"/>
      <c r="D307" s="63"/>
      <c r="E307" s="63"/>
      <c r="F307" s="63"/>
    </row>
    <row r="308" spans="1:6" x14ac:dyDescent="0.3">
      <c r="A308" s="71"/>
      <c r="B308" s="63"/>
      <c r="C308" s="63"/>
      <c r="D308" s="63"/>
      <c r="E308" s="63"/>
      <c r="F308" s="63"/>
    </row>
    <row r="309" spans="1:6" x14ac:dyDescent="0.3">
      <c r="A309" s="71"/>
      <c r="B309" s="63"/>
      <c r="C309" s="63"/>
      <c r="D309" s="63"/>
      <c r="E309" s="63"/>
      <c r="F309" s="63"/>
    </row>
    <row r="310" spans="1:6" x14ac:dyDescent="0.3">
      <c r="A310" s="71"/>
      <c r="B310" s="63"/>
      <c r="C310" s="63"/>
      <c r="D310" s="63"/>
      <c r="E310" s="63"/>
      <c r="F310" s="63"/>
    </row>
    <row r="311" spans="1:6" x14ac:dyDescent="0.3">
      <c r="A311" s="71"/>
      <c r="B311" s="63"/>
      <c r="C311" s="63"/>
      <c r="D311" s="63"/>
      <c r="E311" s="63"/>
      <c r="F311" s="63"/>
    </row>
    <row r="312" spans="1:6" x14ac:dyDescent="0.3">
      <c r="A312" s="71"/>
      <c r="B312" s="63"/>
      <c r="C312" s="63"/>
      <c r="D312" s="63"/>
      <c r="E312" s="63"/>
      <c r="F312" s="63"/>
    </row>
    <row r="313" spans="1:6" x14ac:dyDescent="0.3">
      <c r="A313" s="71"/>
      <c r="B313" s="63"/>
      <c r="C313" s="63"/>
      <c r="D313" s="63"/>
      <c r="E313" s="63"/>
      <c r="F313" s="63"/>
    </row>
    <row r="314" spans="1:6" x14ac:dyDescent="0.3">
      <c r="A314" s="71"/>
      <c r="B314" s="63"/>
      <c r="C314" s="63"/>
      <c r="D314" s="63"/>
      <c r="E314" s="63"/>
      <c r="F314" s="63"/>
    </row>
    <row r="315" spans="1:6" x14ac:dyDescent="0.3">
      <c r="A315" s="71"/>
      <c r="B315" s="63"/>
      <c r="C315" s="63"/>
      <c r="D315" s="63"/>
      <c r="E315" s="63"/>
      <c r="F315" s="63"/>
    </row>
    <row r="316" spans="1:6" x14ac:dyDescent="0.3">
      <c r="A316" s="71"/>
      <c r="B316" s="63"/>
      <c r="C316" s="63"/>
      <c r="D316" s="63"/>
      <c r="E316" s="63"/>
      <c r="F316" s="63"/>
    </row>
    <row r="317" spans="1:6" x14ac:dyDescent="0.3">
      <c r="A317" s="71"/>
      <c r="B317" s="63"/>
      <c r="C317" s="63"/>
      <c r="D317" s="63"/>
      <c r="E317" s="63"/>
      <c r="F317" s="63"/>
    </row>
    <row r="318" spans="1:6" x14ac:dyDescent="0.3">
      <c r="A318" s="71"/>
      <c r="B318" s="63"/>
      <c r="C318" s="63"/>
      <c r="D318" s="63"/>
      <c r="E318" s="63"/>
      <c r="F318" s="63"/>
    </row>
    <row r="319" spans="1:6" x14ac:dyDescent="0.3">
      <c r="A319" s="71"/>
      <c r="B319" s="63"/>
      <c r="C319" s="63"/>
      <c r="D319" s="63"/>
      <c r="E319" s="63"/>
      <c r="F319" s="63"/>
    </row>
    <row r="320" spans="1:6" x14ac:dyDescent="0.3">
      <c r="A320" s="71"/>
      <c r="B320" s="63"/>
      <c r="C320" s="63"/>
      <c r="D320" s="63"/>
      <c r="E320" s="63"/>
      <c r="F320" s="63"/>
    </row>
    <row r="321" spans="1:6" x14ac:dyDescent="0.3">
      <c r="A321" s="71"/>
      <c r="B321" s="63"/>
      <c r="C321" s="63"/>
      <c r="D321" s="63"/>
      <c r="E321" s="63"/>
      <c r="F321" s="63"/>
    </row>
    <row r="322" spans="1:6" x14ac:dyDescent="0.3">
      <c r="A322" s="71"/>
      <c r="B322" s="63"/>
      <c r="C322" s="63"/>
      <c r="D322" s="63"/>
      <c r="E322" s="63"/>
      <c r="F322" s="63"/>
    </row>
    <row r="323" spans="1:6" x14ac:dyDescent="0.3">
      <c r="A323" s="71"/>
      <c r="B323" s="63"/>
      <c r="C323" s="63"/>
      <c r="D323" s="63"/>
      <c r="E323" s="63"/>
      <c r="F323" s="63"/>
    </row>
    <row r="324" spans="1:6" x14ac:dyDescent="0.3">
      <c r="A324" s="71"/>
      <c r="B324" s="63"/>
      <c r="C324" s="63"/>
      <c r="D324" s="63"/>
      <c r="E324" s="63"/>
      <c r="F324" s="63"/>
    </row>
    <row r="325" spans="1:6" x14ac:dyDescent="0.3">
      <c r="A325" s="71"/>
      <c r="B325" s="63"/>
      <c r="C325" s="63"/>
      <c r="D325" s="63"/>
      <c r="E325" s="63"/>
      <c r="F325" s="63"/>
    </row>
    <row r="326" spans="1:6" x14ac:dyDescent="0.3">
      <c r="A326" s="71"/>
      <c r="B326" s="63"/>
      <c r="C326" s="63"/>
      <c r="D326" s="63"/>
      <c r="E326" s="63"/>
      <c r="F326" s="63"/>
    </row>
    <row r="327" spans="1:6" x14ac:dyDescent="0.3">
      <c r="A327" s="71"/>
      <c r="B327" s="63"/>
      <c r="C327" s="63"/>
      <c r="D327" s="63"/>
      <c r="E327" s="63"/>
      <c r="F327" s="63"/>
    </row>
    <row r="328" spans="1:6" x14ac:dyDescent="0.3">
      <c r="A328" s="71"/>
      <c r="B328" s="63"/>
      <c r="C328" s="63"/>
      <c r="D328" s="63"/>
      <c r="E328" s="63"/>
      <c r="F328" s="63"/>
    </row>
    <row r="329" spans="1:6" x14ac:dyDescent="0.3">
      <c r="A329" s="71"/>
      <c r="B329" s="63"/>
      <c r="C329" s="63"/>
      <c r="D329" s="63"/>
      <c r="E329" s="63"/>
      <c r="F329" s="63"/>
    </row>
    <row r="330" spans="1:6" x14ac:dyDescent="0.3">
      <c r="A330" s="71"/>
      <c r="B330" s="63"/>
      <c r="C330" s="63"/>
      <c r="D330" s="63"/>
      <c r="E330" s="63"/>
      <c r="F330" s="63"/>
    </row>
    <row r="331" spans="1:6" x14ac:dyDescent="0.3">
      <c r="A331" s="71"/>
      <c r="B331" s="63"/>
      <c r="C331" s="63"/>
      <c r="D331" s="63"/>
      <c r="E331" s="63"/>
      <c r="F331" s="63"/>
    </row>
    <row r="332" spans="1:6" x14ac:dyDescent="0.3">
      <c r="A332" s="71"/>
      <c r="B332" s="63"/>
      <c r="C332" s="63"/>
      <c r="D332" s="63"/>
      <c r="E332" s="63"/>
      <c r="F332" s="63"/>
    </row>
    <row r="333" spans="1:6" x14ac:dyDescent="0.3">
      <c r="A333" s="71"/>
      <c r="B333" s="63"/>
      <c r="C333" s="63"/>
      <c r="D333" s="63"/>
      <c r="E333" s="63"/>
      <c r="F333" s="63"/>
    </row>
    <row r="334" spans="1:6" x14ac:dyDescent="0.3">
      <c r="A334" s="71"/>
      <c r="B334" s="63"/>
      <c r="C334" s="63"/>
      <c r="D334" s="63"/>
      <c r="E334" s="63"/>
      <c r="F334" s="63"/>
    </row>
    <row r="335" spans="1:6" x14ac:dyDescent="0.3">
      <c r="A335" s="71"/>
      <c r="B335" s="63"/>
      <c r="C335" s="63"/>
      <c r="D335" s="63"/>
      <c r="E335" s="63"/>
      <c r="F335" s="63"/>
    </row>
    <row r="336" spans="1:6" x14ac:dyDescent="0.3">
      <c r="A336" s="71"/>
      <c r="B336" s="63"/>
      <c r="C336" s="63"/>
      <c r="D336" s="63"/>
      <c r="E336" s="63"/>
      <c r="F336" s="63"/>
    </row>
    <row r="337" spans="1:6" x14ac:dyDescent="0.3">
      <c r="A337" s="71"/>
      <c r="B337" s="63"/>
      <c r="C337" s="63"/>
      <c r="D337" s="63"/>
      <c r="E337" s="63"/>
      <c r="F337" s="63"/>
    </row>
    <row r="338" spans="1:6" x14ac:dyDescent="0.3">
      <c r="A338" s="71"/>
      <c r="B338" s="63"/>
      <c r="C338" s="63"/>
      <c r="D338" s="63"/>
      <c r="E338" s="63"/>
      <c r="F338" s="63"/>
    </row>
    <row r="339" spans="1:6" x14ac:dyDescent="0.3">
      <c r="A339" s="71"/>
      <c r="B339" s="63"/>
      <c r="C339" s="63"/>
      <c r="D339" s="63"/>
      <c r="E339" s="63"/>
      <c r="F339" s="63"/>
    </row>
    <row r="340" spans="1:6" x14ac:dyDescent="0.3">
      <c r="A340" s="71"/>
      <c r="B340" s="63"/>
      <c r="C340" s="63"/>
      <c r="D340" s="63"/>
      <c r="E340" s="63"/>
      <c r="F340" s="63"/>
    </row>
    <row r="341" spans="1:6" x14ac:dyDescent="0.3">
      <c r="A341" s="71"/>
      <c r="B341" s="63"/>
      <c r="C341" s="63"/>
      <c r="D341" s="63"/>
      <c r="E341" s="63"/>
      <c r="F341" s="63"/>
    </row>
    <row r="342" spans="1:6" x14ac:dyDescent="0.3">
      <c r="A342" s="71"/>
      <c r="B342" s="63"/>
      <c r="C342" s="63"/>
      <c r="D342" s="63"/>
      <c r="E342" s="63"/>
      <c r="F342" s="63"/>
    </row>
    <row r="343" spans="1:6" x14ac:dyDescent="0.3">
      <c r="A343" s="71"/>
      <c r="B343" s="63"/>
      <c r="C343" s="63"/>
      <c r="D343" s="63"/>
      <c r="E343" s="63"/>
      <c r="F343" s="63"/>
    </row>
    <row r="344" spans="1:6" x14ac:dyDescent="0.3">
      <c r="A344" s="71"/>
      <c r="B344" s="63"/>
      <c r="C344" s="63"/>
      <c r="D344" s="63"/>
      <c r="E344" s="63"/>
      <c r="F344" s="63"/>
    </row>
    <row r="345" spans="1:6" x14ac:dyDescent="0.3">
      <c r="A345" s="71"/>
      <c r="B345" s="63"/>
      <c r="C345" s="63"/>
      <c r="D345" s="63"/>
      <c r="E345" s="63"/>
      <c r="F345" s="63"/>
    </row>
    <row r="346" spans="1:6" x14ac:dyDescent="0.3">
      <c r="A346" s="71"/>
      <c r="B346" s="63"/>
      <c r="C346" s="63"/>
      <c r="D346" s="63"/>
      <c r="E346" s="63"/>
      <c r="F346" s="63"/>
    </row>
    <row r="347" spans="1:6" x14ac:dyDescent="0.3">
      <c r="A347" s="71"/>
      <c r="B347" s="63"/>
      <c r="C347" s="63"/>
      <c r="D347" s="63"/>
      <c r="E347" s="63"/>
      <c r="F347" s="63"/>
    </row>
    <row r="348" spans="1:6" x14ac:dyDescent="0.3">
      <c r="A348" s="71"/>
      <c r="B348" s="63"/>
      <c r="C348" s="63"/>
      <c r="D348" s="63"/>
      <c r="E348" s="63"/>
      <c r="F348" s="63"/>
    </row>
    <row r="349" spans="1:6" x14ac:dyDescent="0.3">
      <c r="A349" s="71"/>
      <c r="B349" s="63"/>
      <c r="C349" s="63"/>
      <c r="D349" s="63"/>
      <c r="E349" s="63"/>
      <c r="F349" s="63"/>
    </row>
    <row r="350" spans="1:6" x14ac:dyDescent="0.3">
      <c r="A350" s="71"/>
      <c r="B350" s="63"/>
      <c r="C350" s="63"/>
      <c r="D350" s="63"/>
      <c r="E350" s="63"/>
      <c r="F350" s="63"/>
    </row>
    <row r="351" spans="1:6" x14ac:dyDescent="0.3">
      <c r="A351" s="71"/>
      <c r="B351" s="63"/>
      <c r="C351" s="63"/>
      <c r="D351" s="63"/>
      <c r="E351" s="63"/>
      <c r="F351" s="63"/>
    </row>
    <row r="352" spans="1:6" x14ac:dyDescent="0.3">
      <c r="A352" s="71"/>
      <c r="B352" s="63"/>
      <c r="C352" s="63"/>
      <c r="D352" s="63"/>
      <c r="E352" s="63"/>
      <c r="F352" s="63"/>
    </row>
    <row r="353" spans="1:6" x14ac:dyDescent="0.3">
      <c r="A353" s="71"/>
      <c r="B353" s="63"/>
      <c r="C353" s="63"/>
      <c r="D353" s="63"/>
      <c r="E353" s="63"/>
      <c r="F353" s="63"/>
    </row>
    <row r="354" spans="1:6" x14ac:dyDescent="0.3">
      <c r="A354" s="71"/>
      <c r="B354" s="63"/>
      <c r="C354" s="63"/>
      <c r="D354" s="63"/>
      <c r="E354" s="63"/>
      <c r="F354" s="63"/>
    </row>
    <row r="355" spans="1:6" x14ac:dyDescent="0.3">
      <c r="A355" s="71"/>
      <c r="B355" s="63"/>
      <c r="C355" s="63"/>
      <c r="D355" s="63"/>
      <c r="E355" s="63"/>
      <c r="F355" s="63"/>
    </row>
    <row r="356" spans="1:6" x14ac:dyDescent="0.3">
      <c r="A356" s="71"/>
      <c r="B356" s="63"/>
      <c r="C356" s="63"/>
      <c r="D356" s="63"/>
      <c r="E356" s="63"/>
      <c r="F356" s="63"/>
    </row>
    <row r="357" spans="1:6" x14ac:dyDescent="0.3">
      <c r="A357" s="71"/>
      <c r="B357" s="63"/>
      <c r="C357" s="63"/>
      <c r="D357" s="63"/>
      <c r="E357" s="63"/>
      <c r="F357" s="63"/>
    </row>
    <row r="358" spans="1:6" x14ac:dyDescent="0.3">
      <c r="A358" s="71"/>
      <c r="B358" s="63"/>
      <c r="C358" s="63"/>
      <c r="D358" s="63"/>
      <c r="E358" s="63"/>
      <c r="F358" s="63"/>
    </row>
    <row r="359" spans="1:6" x14ac:dyDescent="0.3">
      <c r="A359" s="71"/>
      <c r="B359" s="63"/>
      <c r="C359" s="63"/>
      <c r="D359" s="63"/>
      <c r="E359" s="63"/>
      <c r="F359" s="63"/>
    </row>
    <row r="360" spans="1:6" x14ac:dyDescent="0.3">
      <c r="A360" s="71"/>
      <c r="B360" s="63"/>
      <c r="C360" s="63"/>
      <c r="D360" s="63"/>
      <c r="E360" s="63"/>
      <c r="F360" s="63"/>
    </row>
    <row r="361" spans="1:6" x14ac:dyDescent="0.3">
      <c r="A361" s="71"/>
      <c r="B361" s="63"/>
      <c r="C361" s="63"/>
      <c r="D361" s="63"/>
      <c r="E361" s="63"/>
      <c r="F361" s="63"/>
    </row>
    <row r="362" spans="1:6" x14ac:dyDescent="0.3">
      <c r="A362" s="71"/>
      <c r="B362" s="63"/>
      <c r="C362" s="63"/>
      <c r="D362" s="63"/>
      <c r="E362" s="63"/>
      <c r="F362" s="63"/>
    </row>
    <row r="363" spans="1:6" x14ac:dyDescent="0.3">
      <c r="A363" s="71"/>
      <c r="B363" s="63"/>
      <c r="C363" s="63"/>
      <c r="D363" s="63"/>
      <c r="E363" s="63"/>
      <c r="F363" s="63"/>
    </row>
    <row r="364" spans="1:6" x14ac:dyDescent="0.3">
      <c r="A364" s="71"/>
      <c r="B364" s="63"/>
      <c r="C364" s="63"/>
      <c r="D364" s="63"/>
      <c r="E364" s="63"/>
      <c r="F364" s="63"/>
    </row>
    <row r="365" spans="1:6" x14ac:dyDescent="0.3">
      <c r="A365" s="71"/>
      <c r="B365" s="63"/>
      <c r="C365" s="63"/>
      <c r="D365" s="63"/>
      <c r="E365" s="63"/>
      <c r="F365" s="63"/>
    </row>
    <row r="366" spans="1:6" x14ac:dyDescent="0.3">
      <c r="A366" s="71"/>
      <c r="B366" s="63"/>
      <c r="C366" s="63"/>
      <c r="D366" s="63"/>
      <c r="E366" s="63"/>
      <c r="F366" s="63"/>
    </row>
    <row r="367" spans="1:6" x14ac:dyDescent="0.3">
      <c r="A367" s="71"/>
      <c r="B367" s="63"/>
      <c r="C367" s="63"/>
      <c r="D367" s="63"/>
      <c r="E367" s="63"/>
      <c r="F367" s="63"/>
    </row>
    <row r="368" spans="1:6" x14ac:dyDescent="0.3">
      <c r="A368" s="71"/>
      <c r="B368" s="63"/>
      <c r="C368" s="63"/>
      <c r="D368" s="63"/>
      <c r="E368" s="63"/>
      <c r="F368" s="63"/>
    </row>
    <row r="369" spans="1:6" x14ac:dyDescent="0.3">
      <c r="A369" s="71"/>
      <c r="B369" s="63"/>
      <c r="C369" s="63"/>
      <c r="D369" s="63"/>
      <c r="E369" s="63"/>
      <c r="F369" s="63"/>
    </row>
    <row r="370" spans="1:6" x14ac:dyDescent="0.3">
      <c r="A370" s="71"/>
      <c r="B370" s="63"/>
      <c r="C370" s="63"/>
      <c r="D370" s="63"/>
      <c r="E370" s="63"/>
      <c r="F370" s="63"/>
    </row>
    <row r="371" spans="1:6" x14ac:dyDescent="0.3">
      <c r="A371" s="71"/>
      <c r="B371" s="63"/>
      <c r="C371" s="63"/>
      <c r="D371" s="63"/>
      <c r="E371" s="63"/>
      <c r="F371" s="63"/>
    </row>
    <row r="372" spans="1:6" x14ac:dyDescent="0.3">
      <c r="A372" s="71"/>
      <c r="B372" s="63"/>
      <c r="C372" s="63"/>
      <c r="D372" s="63"/>
      <c r="E372" s="63"/>
      <c r="F372" s="63"/>
    </row>
    <row r="373" spans="1:6" x14ac:dyDescent="0.3">
      <c r="A373" s="71"/>
      <c r="B373" s="63"/>
      <c r="C373" s="63"/>
      <c r="D373" s="63"/>
      <c r="E373" s="63"/>
      <c r="F373" s="63"/>
    </row>
    <row r="374" spans="1:6" x14ac:dyDescent="0.3">
      <c r="A374" s="71"/>
      <c r="B374" s="63"/>
      <c r="C374" s="63"/>
      <c r="D374" s="63"/>
      <c r="E374" s="63"/>
      <c r="F374" s="63"/>
    </row>
    <row r="375" spans="1:6" x14ac:dyDescent="0.3">
      <c r="A375" s="71"/>
      <c r="B375" s="63"/>
      <c r="C375" s="63"/>
      <c r="D375" s="63"/>
      <c r="E375" s="63"/>
      <c r="F375" s="63"/>
    </row>
    <row r="376" spans="1:6" x14ac:dyDescent="0.3">
      <c r="A376" s="71"/>
      <c r="B376" s="63"/>
      <c r="C376" s="63"/>
      <c r="D376" s="63"/>
      <c r="E376" s="63"/>
      <c r="F376" s="63"/>
    </row>
    <row r="377" spans="1:6" x14ac:dyDescent="0.3">
      <c r="A377" s="71"/>
      <c r="B377" s="63"/>
      <c r="C377" s="63"/>
      <c r="D377" s="63"/>
      <c r="E377" s="63"/>
      <c r="F377" s="63"/>
    </row>
    <row r="378" spans="1:6" x14ac:dyDescent="0.3">
      <c r="A378" s="71"/>
      <c r="B378" s="63"/>
      <c r="C378" s="63"/>
      <c r="D378" s="63"/>
      <c r="E378" s="63"/>
      <c r="F378" s="63"/>
    </row>
    <row r="379" spans="1:6" x14ac:dyDescent="0.3">
      <c r="A379" s="71"/>
      <c r="B379" s="63"/>
      <c r="C379" s="63"/>
      <c r="D379" s="63"/>
      <c r="E379" s="63"/>
      <c r="F379" s="63"/>
    </row>
    <row r="380" spans="1:6" x14ac:dyDescent="0.3">
      <c r="A380" s="71"/>
      <c r="B380" s="63"/>
      <c r="C380" s="63"/>
      <c r="D380" s="63"/>
      <c r="E380" s="63"/>
      <c r="F380" s="63"/>
    </row>
    <row r="381" spans="1:6" x14ac:dyDescent="0.3">
      <c r="A381" s="71"/>
      <c r="B381" s="63"/>
      <c r="C381" s="63"/>
      <c r="D381" s="63"/>
      <c r="E381" s="63"/>
      <c r="F381" s="63"/>
    </row>
    <row r="382" spans="1:6" x14ac:dyDescent="0.3">
      <c r="A382" s="71"/>
      <c r="B382" s="63"/>
      <c r="C382" s="63"/>
      <c r="D382" s="63"/>
      <c r="E382" s="63"/>
      <c r="F382" s="63"/>
    </row>
    <row r="383" spans="1:6" x14ac:dyDescent="0.3">
      <c r="A383" s="71"/>
      <c r="B383" s="63"/>
      <c r="C383" s="63"/>
      <c r="D383" s="63"/>
      <c r="E383" s="63"/>
      <c r="F383" s="63"/>
    </row>
    <row r="384" spans="1:6" x14ac:dyDescent="0.3">
      <c r="A384" s="71"/>
      <c r="B384" s="63"/>
      <c r="C384" s="63"/>
      <c r="D384" s="63"/>
      <c r="E384" s="63"/>
      <c r="F384" s="63"/>
    </row>
    <row r="385" spans="1:6" x14ac:dyDescent="0.3">
      <c r="A385" s="71"/>
      <c r="B385" s="63"/>
      <c r="C385" s="63"/>
      <c r="D385" s="63"/>
      <c r="E385" s="63"/>
      <c r="F385" s="63"/>
    </row>
    <row r="386" spans="1:6" x14ac:dyDescent="0.3">
      <c r="A386" s="71"/>
      <c r="B386" s="63"/>
      <c r="C386" s="63"/>
      <c r="D386" s="63"/>
      <c r="E386" s="63"/>
      <c r="F386" s="63"/>
    </row>
    <row r="387" spans="1:6" x14ac:dyDescent="0.3">
      <c r="A387" s="71"/>
      <c r="B387" s="63"/>
      <c r="C387" s="63"/>
      <c r="D387" s="63"/>
      <c r="E387" s="63"/>
      <c r="F387" s="63"/>
    </row>
    <row r="388" spans="1:6" x14ac:dyDescent="0.3">
      <c r="A388" s="71"/>
      <c r="B388" s="63"/>
      <c r="C388" s="63"/>
      <c r="D388" s="63"/>
      <c r="E388" s="63"/>
      <c r="F388" s="63"/>
    </row>
    <row r="389" spans="1:6" x14ac:dyDescent="0.3">
      <c r="A389" s="71"/>
      <c r="B389" s="63"/>
      <c r="C389" s="63"/>
      <c r="D389" s="63"/>
      <c r="E389" s="63"/>
      <c r="F389" s="63"/>
    </row>
    <row r="390" spans="1:6" x14ac:dyDescent="0.3">
      <c r="A390" s="71"/>
      <c r="B390" s="63"/>
      <c r="C390" s="63"/>
      <c r="D390" s="63"/>
      <c r="E390" s="63"/>
      <c r="F390" s="63"/>
    </row>
    <row r="391" spans="1:6" x14ac:dyDescent="0.3">
      <c r="A391" s="71"/>
      <c r="B391" s="63"/>
      <c r="C391" s="63"/>
      <c r="D391" s="63"/>
      <c r="E391" s="63"/>
      <c r="F391" s="63"/>
    </row>
    <row r="392" spans="1:6" x14ac:dyDescent="0.3">
      <c r="A392" s="71"/>
      <c r="B392" s="63"/>
      <c r="C392" s="63"/>
      <c r="D392" s="63"/>
      <c r="E392" s="63"/>
      <c r="F392" s="63"/>
    </row>
    <row r="393" spans="1:6" x14ac:dyDescent="0.3">
      <c r="A393" s="71"/>
      <c r="B393" s="63"/>
      <c r="C393" s="63"/>
      <c r="D393" s="63"/>
      <c r="E393" s="63"/>
      <c r="F393" s="63"/>
    </row>
    <row r="394" spans="1:6" x14ac:dyDescent="0.3">
      <c r="A394" s="71"/>
      <c r="B394" s="63"/>
      <c r="C394" s="63"/>
      <c r="D394" s="63"/>
      <c r="E394" s="63"/>
      <c r="F394" s="63"/>
    </row>
    <row r="395" spans="1:6" x14ac:dyDescent="0.3">
      <c r="A395" s="71"/>
      <c r="B395" s="63"/>
      <c r="C395" s="63"/>
      <c r="D395" s="63"/>
      <c r="E395" s="63"/>
      <c r="F395" s="63"/>
    </row>
    <row r="396" spans="1:6" x14ac:dyDescent="0.3">
      <c r="A396" s="71"/>
      <c r="B396" s="63"/>
      <c r="C396" s="63"/>
      <c r="D396" s="63"/>
      <c r="E396" s="63"/>
      <c r="F396" s="63"/>
    </row>
    <row r="397" spans="1:6" x14ac:dyDescent="0.3">
      <c r="A397" s="71"/>
      <c r="B397" s="63"/>
      <c r="C397" s="63"/>
      <c r="D397" s="63"/>
      <c r="E397" s="63"/>
      <c r="F397" s="63"/>
    </row>
    <row r="398" spans="1:6" x14ac:dyDescent="0.3">
      <c r="A398" s="71"/>
      <c r="B398" s="63"/>
      <c r="C398" s="63"/>
      <c r="D398" s="63"/>
      <c r="E398" s="63"/>
      <c r="F398" s="63"/>
    </row>
    <row r="399" spans="1:6" x14ac:dyDescent="0.3">
      <c r="A399" s="71"/>
      <c r="B399" s="63"/>
      <c r="C399" s="63"/>
      <c r="D399" s="63"/>
      <c r="E399" s="63"/>
      <c r="F399" s="63"/>
    </row>
    <row r="400" spans="1:6" x14ac:dyDescent="0.3">
      <c r="A400" s="71"/>
      <c r="B400" s="63"/>
      <c r="C400" s="63"/>
      <c r="D400" s="63"/>
      <c r="E400" s="63"/>
      <c r="F400" s="63"/>
    </row>
    <row r="401" spans="1:6" x14ac:dyDescent="0.3">
      <c r="A401" s="71"/>
      <c r="B401" s="63"/>
      <c r="C401" s="63"/>
      <c r="D401" s="63"/>
      <c r="E401" s="63"/>
      <c r="F401" s="63"/>
    </row>
    <row r="402" spans="1:6" x14ac:dyDescent="0.3">
      <c r="A402" s="71"/>
      <c r="B402" s="63"/>
      <c r="C402" s="63"/>
      <c r="D402" s="63"/>
      <c r="E402" s="63"/>
      <c r="F402" s="63"/>
    </row>
    <row r="403" spans="1:6" x14ac:dyDescent="0.3">
      <c r="A403" s="71"/>
      <c r="B403" s="63"/>
      <c r="C403" s="63"/>
      <c r="D403" s="63"/>
      <c r="E403" s="63"/>
      <c r="F403" s="63"/>
    </row>
    <row r="404" spans="1:6" x14ac:dyDescent="0.3">
      <c r="A404" s="71"/>
      <c r="B404" s="63"/>
      <c r="C404" s="63"/>
      <c r="D404" s="63"/>
      <c r="E404" s="63"/>
      <c r="F404" s="63"/>
    </row>
    <row r="405" spans="1:6" x14ac:dyDescent="0.3">
      <c r="A405" s="71"/>
      <c r="B405" s="63"/>
      <c r="C405" s="63"/>
      <c r="D405" s="63"/>
      <c r="E405" s="63"/>
      <c r="F405" s="63"/>
    </row>
    <row r="406" spans="1:6" x14ac:dyDescent="0.3">
      <c r="A406" s="71"/>
      <c r="B406" s="63"/>
      <c r="C406" s="63"/>
      <c r="D406" s="63"/>
      <c r="E406" s="63"/>
      <c r="F406" s="63"/>
    </row>
    <row r="407" spans="1:6" x14ac:dyDescent="0.3">
      <c r="A407" s="71"/>
      <c r="B407" s="63"/>
      <c r="C407" s="63"/>
      <c r="D407" s="63"/>
      <c r="E407" s="63"/>
      <c r="F407" s="63"/>
    </row>
    <row r="408" spans="1:6" x14ac:dyDescent="0.3">
      <c r="A408" s="71"/>
      <c r="B408" s="63"/>
      <c r="C408" s="63"/>
      <c r="D408" s="63"/>
      <c r="E408" s="63"/>
      <c r="F408" s="63"/>
    </row>
    <row r="409" spans="1:6" x14ac:dyDescent="0.3">
      <c r="A409" s="71"/>
      <c r="B409" s="63"/>
      <c r="C409" s="63"/>
      <c r="D409" s="63"/>
      <c r="E409" s="63"/>
      <c r="F409" s="63"/>
    </row>
    <row r="410" spans="1:6" x14ac:dyDescent="0.3">
      <c r="A410" s="71"/>
      <c r="B410" s="63"/>
      <c r="C410" s="63"/>
      <c r="D410" s="63"/>
      <c r="E410" s="63"/>
      <c r="F410" s="63"/>
    </row>
    <row r="411" spans="1:6" x14ac:dyDescent="0.3">
      <c r="A411" s="71"/>
      <c r="B411" s="63"/>
      <c r="C411" s="63"/>
      <c r="D411" s="63"/>
      <c r="E411" s="63"/>
      <c r="F411" s="63"/>
    </row>
    <row r="412" spans="1:6" x14ac:dyDescent="0.3">
      <c r="A412" s="71"/>
      <c r="B412" s="63"/>
      <c r="C412" s="63"/>
      <c r="D412" s="63"/>
      <c r="E412" s="63"/>
      <c r="F412" s="63"/>
    </row>
    <row r="413" spans="1:6" x14ac:dyDescent="0.3">
      <c r="A413" s="71"/>
      <c r="B413" s="63"/>
      <c r="C413" s="63"/>
      <c r="D413" s="63"/>
      <c r="E413" s="63"/>
      <c r="F413" s="63"/>
    </row>
    <row r="414" spans="1:6" x14ac:dyDescent="0.3">
      <c r="A414" s="71"/>
      <c r="B414" s="63"/>
      <c r="C414" s="63"/>
      <c r="D414" s="63"/>
      <c r="E414" s="63"/>
      <c r="F414" s="63"/>
    </row>
    <row r="415" spans="1:6" x14ac:dyDescent="0.3">
      <c r="A415" s="71"/>
      <c r="B415" s="63"/>
      <c r="C415" s="63"/>
      <c r="D415" s="63"/>
      <c r="E415" s="63"/>
      <c r="F415" s="63"/>
    </row>
    <row r="416" spans="1:6" x14ac:dyDescent="0.3">
      <c r="A416" s="71"/>
      <c r="B416" s="63"/>
      <c r="C416" s="63"/>
      <c r="D416" s="63"/>
      <c r="E416" s="63"/>
      <c r="F416" s="63"/>
    </row>
    <row r="417" spans="1:6" x14ac:dyDescent="0.3">
      <c r="A417" s="71"/>
      <c r="B417" s="63"/>
      <c r="C417" s="63"/>
      <c r="D417" s="63"/>
      <c r="E417" s="63"/>
      <c r="F417" s="63"/>
    </row>
    <row r="418" spans="1:6" x14ac:dyDescent="0.3">
      <c r="A418" s="71"/>
      <c r="B418" s="63"/>
      <c r="C418" s="63"/>
      <c r="D418" s="63"/>
      <c r="E418" s="63"/>
      <c r="F418" s="63"/>
    </row>
    <row r="419" spans="1:6" x14ac:dyDescent="0.3">
      <c r="A419" s="71"/>
      <c r="B419" s="63"/>
      <c r="C419" s="63"/>
      <c r="D419" s="63"/>
      <c r="E419" s="63"/>
      <c r="F419" s="63"/>
    </row>
    <row r="420" spans="1:6" x14ac:dyDescent="0.3">
      <c r="A420" s="71"/>
      <c r="B420" s="63"/>
      <c r="C420" s="63"/>
      <c r="D420" s="63"/>
      <c r="E420" s="63"/>
      <c r="F420" s="63"/>
    </row>
    <row r="421" spans="1:6" x14ac:dyDescent="0.3">
      <c r="A421" s="71"/>
      <c r="B421" s="63"/>
      <c r="C421" s="63"/>
      <c r="D421" s="63"/>
      <c r="E421" s="63"/>
      <c r="F421" s="63"/>
    </row>
    <row r="422" spans="1:6" x14ac:dyDescent="0.3">
      <c r="A422" s="71"/>
      <c r="B422" s="63"/>
      <c r="C422" s="63"/>
      <c r="D422" s="63"/>
      <c r="E422" s="63"/>
      <c r="F422" s="63"/>
    </row>
    <row r="423" spans="1:6" x14ac:dyDescent="0.3">
      <c r="A423" s="71"/>
      <c r="B423" s="63"/>
      <c r="C423" s="63"/>
      <c r="D423" s="63"/>
      <c r="E423" s="63"/>
      <c r="F423" s="63"/>
    </row>
    <row r="424" spans="1:6" x14ac:dyDescent="0.3">
      <c r="A424" s="71"/>
      <c r="B424" s="63"/>
      <c r="C424" s="63"/>
      <c r="D424" s="63"/>
      <c r="E424" s="63"/>
      <c r="F424" s="63"/>
    </row>
    <row r="425" spans="1:6" x14ac:dyDescent="0.3">
      <c r="A425" s="71"/>
      <c r="B425" s="63"/>
      <c r="C425" s="63"/>
      <c r="D425" s="63"/>
      <c r="E425" s="63"/>
      <c r="F425" s="63"/>
    </row>
    <row r="426" spans="1:6" x14ac:dyDescent="0.3">
      <c r="A426" s="71"/>
      <c r="B426" s="63"/>
      <c r="C426" s="63"/>
      <c r="D426" s="63"/>
      <c r="E426" s="63"/>
      <c r="F426" s="63"/>
    </row>
    <row r="427" spans="1:6" x14ac:dyDescent="0.3">
      <c r="A427" s="71"/>
      <c r="B427" s="63"/>
      <c r="C427" s="63"/>
      <c r="D427" s="63"/>
      <c r="E427" s="63"/>
      <c r="F427" s="63"/>
    </row>
    <row r="428" spans="1:6" x14ac:dyDescent="0.3">
      <c r="A428" s="71"/>
      <c r="B428" s="63"/>
      <c r="C428" s="63"/>
      <c r="D428" s="63"/>
      <c r="E428" s="63"/>
      <c r="F428" s="63"/>
    </row>
    <row r="429" spans="1:6" x14ac:dyDescent="0.3">
      <c r="A429" s="71"/>
      <c r="B429" s="63"/>
      <c r="C429" s="63"/>
      <c r="D429" s="63"/>
      <c r="E429" s="63"/>
      <c r="F429" s="63"/>
    </row>
    <row r="430" spans="1:6" x14ac:dyDescent="0.3">
      <c r="A430" s="71"/>
      <c r="B430" s="63"/>
      <c r="C430" s="63"/>
      <c r="D430" s="63"/>
      <c r="E430" s="63"/>
      <c r="F430" s="63"/>
    </row>
    <row r="431" spans="1:6" x14ac:dyDescent="0.3">
      <c r="A431" s="71"/>
      <c r="B431" s="63"/>
      <c r="C431" s="63"/>
      <c r="D431" s="63"/>
      <c r="E431" s="63"/>
      <c r="F431" s="63"/>
    </row>
    <row r="432" spans="1:6" x14ac:dyDescent="0.3">
      <c r="A432" s="71"/>
      <c r="B432" s="63"/>
      <c r="C432" s="63"/>
      <c r="D432" s="63"/>
      <c r="E432" s="63"/>
      <c r="F432" s="63"/>
    </row>
    <row r="433" spans="1:6" x14ac:dyDescent="0.3">
      <c r="A433" s="71"/>
      <c r="B433" s="63"/>
      <c r="C433" s="63"/>
      <c r="D433" s="63"/>
      <c r="E433" s="63"/>
      <c r="F433" s="63"/>
    </row>
    <row r="434" spans="1:6" x14ac:dyDescent="0.3">
      <c r="A434" s="71"/>
      <c r="B434" s="63"/>
      <c r="C434" s="63"/>
      <c r="D434" s="63"/>
      <c r="E434" s="63"/>
      <c r="F434" s="63"/>
    </row>
    <row r="435" spans="1:6" x14ac:dyDescent="0.3">
      <c r="A435" s="71"/>
      <c r="B435" s="63"/>
      <c r="C435" s="63"/>
      <c r="D435" s="63"/>
      <c r="E435" s="63"/>
      <c r="F435" s="63"/>
    </row>
    <row r="436" spans="1:6" x14ac:dyDescent="0.3">
      <c r="A436" s="71"/>
      <c r="B436" s="63"/>
      <c r="C436" s="63"/>
      <c r="D436" s="63"/>
      <c r="E436" s="63"/>
      <c r="F436" s="63"/>
    </row>
    <row r="437" spans="1:6" x14ac:dyDescent="0.3">
      <c r="A437" s="71"/>
      <c r="B437" s="63"/>
      <c r="C437" s="63"/>
      <c r="D437" s="63"/>
      <c r="E437" s="63"/>
      <c r="F437" s="63"/>
    </row>
    <row r="438" spans="1:6" x14ac:dyDescent="0.3">
      <c r="A438" s="71"/>
      <c r="B438" s="63"/>
      <c r="C438" s="63"/>
      <c r="D438" s="63"/>
      <c r="E438" s="63"/>
      <c r="F438" s="63"/>
    </row>
    <row r="439" spans="1:6" x14ac:dyDescent="0.3">
      <c r="A439" s="71"/>
      <c r="B439" s="63"/>
      <c r="C439" s="63"/>
      <c r="D439" s="63"/>
      <c r="E439" s="63"/>
      <c r="F439" s="63"/>
    </row>
    <row r="440" spans="1:6" x14ac:dyDescent="0.3">
      <c r="A440" s="71"/>
      <c r="B440" s="63"/>
      <c r="C440" s="63"/>
      <c r="D440" s="63"/>
      <c r="E440" s="63"/>
      <c r="F440" s="63"/>
    </row>
    <row r="441" spans="1:6" x14ac:dyDescent="0.3">
      <c r="A441" s="71"/>
      <c r="B441" s="63"/>
      <c r="C441" s="63"/>
      <c r="D441" s="63"/>
      <c r="E441" s="63"/>
      <c r="F441" s="63"/>
    </row>
    <row r="442" spans="1:6" x14ac:dyDescent="0.3">
      <c r="A442" s="71"/>
      <c r="B442" s="63"/>
      <c r="C442" s="63"/>
      <c r="D442" s="63"/>
      <c r="E442" s="63"/>
      <c r="F442" s="63"/>
    </row>
    <row r="443" spans="1:6" x14ac:dyDescent="0.3">
      <c r="A443" s="71"/>
      <c r="B443" s="63"/>
      <c r="C443" s="63"/>
      <c r="D443" s="63"/>
      <c r="E443" s="63"/>
      <c r="F443" s="63"/>
    </row>
    <row r="444" spans="1:6" x14ac:dyDescent="0.3">
      <c r="A444" s="71"/>
      <c r="B444" s="63"/>
      <c r="C444" s="63"/>
      <c r="D444" s="63"/>
      <c r="E444" s="63"/>
      <c r="F444" s="63"/>
    </row>
    <row r="445" spans="1:6" x14ac:dyDescent="0.3">
      <c r="A445" s="71"/>
      <c r="B445" s="63"/>
      <c r="C445" s="63"/>
      <c r="D445" s="63"/>
      <c r="E445" s="63"/>
      <c r="F445" s="63"/>
    </row>
    <row r="446" spans="1:6" x14ac:dyDescent="0.3">
      <c r="A446" s="71"/>
      <c r="B446" s="63"/>
      <c r="C446" s="63"/>
      <c r="D446" s="63"/>
      <c r="E446" s="63"/>
      <c r="F446" s="63"/>
    </row>
    <row r="447" spans="1:6" x14ac:dyDescent="0.3">
      <c r="A447" s="71"/>
      <c r="B447" s="63"/>
      <c r="C447" s="63"/>
      <c r="D447" s="63"/>
      <c r="E447" s="63"/>
      <c r="F447" s="63"/>
    </row>
    <row r="448" spans="1:6" x14ac:dyDescent="0.3">
      <c r="A448" s="71"/>
      <c r="B448" s="63"/>
      <c r="C448" s="63"/>
      <c r="D448" s="63"/>
      <c r="E448" s="63"/>
      <c r="F448" s="63"/>
    </row>
    <row r="449" spans="1:6" x14ac:dyDescent="0.3">
      <c r="A449" s="71"/>
      <c r="B449" s="63"/>
      <c r="C449" s="63"/>
      <c r="D449" s="63"/>
      <c r="E449" s="63"/>
      <c r="F449" s="63"/>
    </row>
    <row r="450" spans="1:6" x14ac:dyDescent="0.3">
      <c r="A450" s="71"/>
      <c r="B450" s="63"/>
      <c r="C450" s="63"/>
      <c r="D450" s="63"/>
      <c r="E450" s="63"/>
      <c r="F450" s="63"/>
    </row>
    <row r="451" spans="1:6" x14ac:dyDescent="0.3">
      <c r="A451" s="71"/>
      <c r="B451" s="63"/>
      <c r="C451" s="63"/>
      <c r="D451" s="63"/>
      <c r="E451" s="63"/>
      <c r="F451" s="63"/>
    </row>
    <row r="452" spans="1:6" x14ac:dyDescent="0.3">
      <c r="A452" s="71"/>
      <c r="B452" s="63"/>
      <c r="C452" s="63"/>
      <c r="D452" s="63"/>
      <c r="E452" s="63"/>
      <c r="F452" s="63"/>
    </row>
    <row r="453" spans="1:6" x14ac:dyDescent="0.3">
      <c r="A453" s="71"/>
      <c r="B453" s="63"/>
      <c r="C453" s="63"/>
      <c r="D453" s="63"/>
      <c r="E453" s="63"/>
      <c r="F453" s="63"/>
    </row>
    <row r="454" spans="1:6" x14ac:dyDescent="0.3">
      <c r="A454" s="71"/>
      <c r="B454" s="63"/>
      <c r="C454" s="63"/>
      <c r="D454" s="63"/>
      <c r="E454" s="63"/>
      <c r="F454" s="63"/>
    </row>
    <row r="455" spans="1:6" x14ac:dyDescent="0.3">
      <c r="A455" s="71"/>
      <c r="B455" s="63"/>
      <c r="C455" s="63"/>
      <c r="D455" s="63"/>
      <c r="E455" s="63"/>
      <c r="F455" s="63"/>
    </row>
    <row r="456" spans="1:6" x14ac:dyDescent="0.3">
      <c r="A456" s="71"/>
      <c r="B456" s="63"/>
      <c r="C456" s="63"/>
      <c r="D456" s="63"/>
      <c r="E456" s="63"/>
      <c r="F456" s="63"/>
    </row>
    <row r="457" spans="1:6" x14ac:dyDescent="0.3">
      <c r="A457" s="71"/>
      <c r="B457" s="63"/>
      <c r="C457" s="63"/>
      <c r="D457" s="63"/>
      <c r="E457" s="63"/>
      <c r="F457" s="63"/>
    </row>
    <row r="458" spans="1:6" x14ac:dyDescent="0.3">
      <c r="A458" s="71"/>
      <c r="B458" s="63"/>
      <c r="C458" s="63"/>
      <c r="D458" s="63"/>
      <c r="E458" s="63"/>
      <c r="F458" s="63"/>
    </row>
    <row r="459" spans="1:6" x14ac:dyDescent="0.3">
      <c r="A459" s="71"/>
      <c r="B459" s="63"/>
      <c r="C459" s="63"/>
      <c r="D459" s="63"/>
      <c r="E459" s="63"/>
      <c r="F459" s="63"/>
    </row>
    <row r="460" spans="1:6" x14ac:dyDescent="0.3">
      <c r="A460" s="71"/>
      <c r="B460" s="63"/>
      <c r="C460" s="63"/>
      <c r="D460" s="63"/>
      <c r="E460" s="63"/>
      <c r="F460" s="63"/>
    </row>
    <row r="461" spans="1:6" x14ac:dyDescent="0.3">
      <c r="A461" s="71"/>
      <c r="B461" s="63"/>
      <c r="C461" s="63"/>
      <c r="D461" s="63"/>
      <c r="E461" s="63"/>
      <c r="F461" s="63"/>
    </row>
    <row r="462" spans="1:6" x14ac:dyDescent="0.3">
      <c r="A462" s="71"/>
      <c r="B462" s="63"/>
      <c r="C462" s="63"/>
      <c r="D462" s="63"/>
      <c r="E462" s="63"/>
      <c r="F462" s="63"/>
    </row>
    <row r="463" spans="1:6" x14ac:dyDescent="0.3">
      <c r="A463" s="71"/>
      <c r="B463" s="63"/>
      <c r="C463" s="63"/>
      <c r="D463" s="63"/>
      <c r="E463" s="63"/>
      <c r="F463" s="63"/>
    </row>
    <row r="464" spans="1:6" x14ac:dyDescent="0.3">
      <c r="A464" s="71"/>
      <c r="B464" s="63"/>
      <c r="C464" s="63"/>
      <c r="D464" s="63"/>
      <c r="E464" s="63"/>
      <c r="F464" s="63"/>
    </row>
    <row r="465" spans="1:6" x14ac:dyDescent="0.3">
      <c r="A465" s="71"/>
      <c r="B465" s="63"/>
      <c r="C465" s="63"/>
      <c r="D465" s="63"/>
      <c r="E465" s="63"/>
      <c r="F465" s="63"/>
    </row>
    <row r="466" spans="1:6" x14ac:dyDescent="0.3">
      <c r="A466" s="71"/>
      <c r="B466" s="63"/>
      <c r="C466" s="63"/>
      <c r="D466" s="63"/>
      <c r="E466" s="63"/>
      <c r="F466" s="63"/>
    </row>
    <row r="467" spans="1:6" x14ac:dyDescent="0.3">
      <c r="A467" s="71"/>
      <c r="B467" s="63"/>
      <c r="C467" s="63"/>
      <c r="D467" s="63"/>
      <c r="E467" s="63"/>
      <c r="F467" s="63"/>
    </row>
    <row r="468" spans="1:6" x14ac:dyDescent="0.3">
      <c r="A468" s="71"/>
      <c r="B468" s="63"/>
      <c r="C468" s="63"/>
      <c r="D468" s="63"/>
      <c r="E468" s="63"/>
      <c r="F468" s="63"/>
    </row>
    <row r="469" spans="1:6" x14ac:dyDescent="0.3">
      <c r="A469" s="71"/>
      <c r="B469" s="63"/>
      <c r="C469" s="63"/>
      <c r="D469" s="63"/>
      <c r="E469" s="63"/>
      <c r="F469" s="63"/>
    </row>
    <row r="470" spans="1:6" x14ac:dyDescent="0.3">
      <c r="A470" s="71"/>
      <c r="B470" s="63"/>
      <c r="C470" s="63"/>
      <c r="D470" s="63"/>
      <c r="E470" s="63"/>
      <c r="F470" s="63"/>
    </row>
    <row r="471" spans="1:6" x14ac:dyDescent="0.3">
      <c r="A471" s="71"/>
      <c r="B471" s="63"/>
      <c r="C471" s="63"/>
      <c r="D471" s="63"/>
      <c r="E471" s="63"/>
      <c r="F471" s="63"/>
    </row>
    <row r="472" spans="1:6" x14ac:dyDescent="0.3">
      <c r="A472" s="71"/>
      <c r="B472" s="63"/>
      <c r="C472" s="63"/>
      <c r="D472" s="63"/>
      <c r="E472" s="63"/>
      <c r="F472" s="63"/>
    </row>
    <row r="473" spans="1:6" x14ac:dyDescent="0.3">
      <c r="A473" s="71"/>
      <c r="B473" s="63"/>
      <c r="C473" s="63"/>
      <c r="D473" s="63"/>
      <c r="E473" s="63"/>
      <c r="F473" s="63"/>
    </row>
    <row r="474" spans="1:6" x14ac:dyDescent="0.3">
      <c r="A474" s="71"/>
      <c r="B474" s="63"/>
      <c r="C474" s="63"/>
      <c r="D474" s="63"/>
      <c r="E474" s="63"/>
      <c r="F474" s="63"/>
    </row>
    <row r="475" spans="1:6" x14ac:dyDescent="0.3">
      <c r="A475" s="71"/>
      <c r="B475" s="63"/>
      <c r="C475" s="63"/>
      <c r="D475" s="63"/>
      <c r="E475" s="63"/>
      <c r="F475" s="63"/>
    </row>
    <row r="476" spans="1:6" x14ac:dyDescent="0.3">
      <c r="A476" s="71"/>
      <c r="B476" s="63"/>
      <c r="C476" s="63"/>
      <c r="D476" s="63"/>
      <c r="E476" s="63"/>
      <c r="F476" s="63"/>
    </row>
    <row r="477" spans="1:6" x14ac:dyDescent="0.3">
      <c r="A477" s="71"/>
      <c r="B477" s="63"/>
      <c r="C477" s="63"/>
      <c r="D477" s="63"/>
      <c r="E477" s="63"/>
      <c r="F477" s="63"/>
    </row>
    <row r="478" spans="1:6" x14ac:dyDescent="0.3">
      <c r="A478" s="71"/>
      <c r="B478" s="63"/>
      <c r="C478" s="63"/>
      <c r="D478" s="63"/>
      <c r="E478" s="63"/>
      <c r="F478" s="63"/>
    </row>
    <row r="479" spans="1:6" x14ac:dyDescent="0.3">
      <c r="A479" s="71"/>
      <c r="B479" s="63"/>
      <c r="C479" s="63"/>
      <c r="D479" s="63"/>
      <c r="E479" s="63"/>
      <c r="F479" s="63"/>
    </row>
    <row r="480" spans="1:6" x14ac:dyDescent="0.3">
      <c r="A480" s="71"/>
      <c r="B480" s="63"/>
      <c r="C480" s="63"/>
      <c r="D480" s="63"/>
      <c r="E480" s="63"/>
      <c r="F480" s="63"/>
    </row>
    <row r="481" spans="1:6" x14ac:dyDescent="0.3">
      <c r="A481" s="71"/>
      <c r="B481" s="63"/>
      <c r="C481" s="63"/>
      <c r="D481" s="63"/>
      <c r="E481" s="63"/>
      <c r="F481" s="63"/>
    </row>
    <row r="482" spans="1:6" x14ac:dyDescent="0.3">
      <c r="A482" s="71"/>
      <c r="B482" s="63"/>
      <c r="C482" s="63"/>
      <c r="D482" s="63"/>
      <c r="E482" s="63"/>
      <c r="F482" s="63"/>
    </row>
    <row r="483" spans="1:6" x14ac:dyDescent="0.3">
      <c r="A483" s="71"/>
      <c r="B483" s="63"/>
      <c r="C483" s="63"/>
      <c r="D483" s="63"/>
      <c r="E483" s="63"/>
      <c r="F483" s="63"/>
    </row>
    <row r="484" spans="1:6" x14ac:dyDescent="0.3">
      <c r="A484" s="71"/>
      <c r="B484" s="63"/>
      <c r="C484" s="63"/>
      <c r="D484" s="63"/>
      <c r="E484" s="63"/>
      <c r="F484" s="63"/>
    </row>
    <row r="485" spans="1:6" x14ac:dyDescent="0.3">
      <c r="A485" s="71"/>
      <c r="B485" s="63"/>
      <c r="C485" s="63"/>
      <c r="D485" s="63"/>
      <c r="E485" s="63"/>
      <c r="F485" s="63"/>
    </row>
    <row r="486" spans="1:6" x14ac:dyDescent="0.3">
      <c r="A486" s="71"/>
      <c r="B486" s="63"/>
      <c r="C486" s="63"/>
      <c r="D486" s="63"/>
      <c r="E486" s="63"/>
      <c r="F486" s="63"/>
    </row>
    <row r="487" spans="1:6" x14ac:dyDescent="0.3">
      <c r="A487" s="71"/>
      <c r="B487" s="63"/>
      <c r="C487" s="63"/>
      <c r="D487" s="63"/>
      <c r="E487" s="63"/>
      <c r="F487" s="63"/>
    </row>
    <row r="488" spans="1:6" x14ac:dyDescent="0.3">
      <c r="A488" s="71"/>
      <c r="B488" s="63"/>
      <c r="C488" s="63"/>
      <c r="D488" s="63"/>
      <c r="E488" s="63"/>
      <c r="F488" s="63"/>
    </row>
    <row r="489" spans="1:6" x14ac:dyDescent="0.3">
      <c r="A489" s="71"/>
      <c r="B489" s="63"/>
      <c r="C489" s="63"/>
      <c r="D489" s="63"/>
      <c r="E489" s="63"/>
      <c r="F489" s="63"/>
    </row>
    <row r="490" spans="1:6" x14ac:dyDescent="0.3">
      <c r="A490" s="71"/>
      <c r="B490" s="63"/>
      <c r="C490" s="63"/>
      <c r="D490" s="63"/>
      <c r="E490" s="63"/>
      <c r="F490" s="63"/>
    </row>
    <row r="491" spans="1:6" x14ac:dyDescent="0.3">
      <c r="A491" s="71"/>
      <c r="B491" s="63"/>
      <c r="C491" s="63"/>
      <c r="D491" s="63"/>
      <c r="E491" s="63"/>
      <c r="F491" s="63"/>
    </row>
    <row r="492" spans="1:6" x14ac:dyDescent="0.3">
      <c r="A492" s="71"/>
      <c r="B492" s="63"/>
      <c r="C492" s="63"/>
      <c r="D492" s="63"/>
      <c r="E492" s="63"/>
      <c r="F492" s="63"/>
    </row>
    <row r="493" spans="1:6" x14ac:dyDescent="0.3">
      <c r="A493" s="71"/>
      <c r="B493" s="63"/>
      <c r="C493" s="63"/>
      <c r="D493" s="63"/>
      <c r="E493" s="63"/>
      <c r="F493" s="63"/>
    </row>
    <row r="494" spans="1:6" x14ac:dyDescent="0.3">
      <c r="A494" s="71"/>
      <c r="B494" s="63"/>
      <c r="C494" s="63"/>
      <c r="D494" s="63"/>
      <c r="E494" s="63"/>
      <c r="F494" s="63"/>
    </row>
    <row r="495" spans="1:6" x14ac:dyDescent="0.3">
      <c r="A495" s="71"/>
      <c r="B495" s="63"/>
      <c r="C495" s="63"/>
      <c r="D495" s="63"/>
      <c r="E495" s="63"/>
      <c r="F495" s="63"/>
    </row>
    <row r="496" spans="1:6" x14ac:dyDescent="0.3">
      <c r="A496" s="71"/>
      <c r="B496" s="63"/>
      <c r="C496" s="63"/>
      <c r="D496" s="63"/>
      <c r="E496" s="63"/>
      <c r="F496" s="63"/>
    </row>
    <row r="497" spans="1:6" x14ac:dyDescent="0.3">
      <c r="A497" s="71"/>
      <c r="B497" s="63"/>
      <c r="C497" s="63"/>
      <c r="D497" s="63"/>
      <c r="E497" s="63"/>
      <c r="F497" s="63"/>
    </row>
    <row r="498" spans="1:6" x14ac:dyDescent="0.3">
      <c r="A498" s="71"/>
      <c r="B498" s="63"/>
      <c r="C498" s="63"/>
      <c r="D498" s="63"/>
      <c r="E498" s="63"/>
      <c r="F498" s="63"/>
    </row>
    <row r="499" spans="1:6" x14ac:dyDescent="0.3">
      <c r="A499" s="71"/>
      <c r="B499" s="63"/>
      <c r="C499" s="63"/>
      <c r="D499" s="63"/>
      <c r="E499" s="63"/>
      <c r="F499" s="63"/>
    </row>
    <row r="500" spans="1:6" x14ac:dyDescent="0.3">
      <c r="A500" s="71"/>
      <c r="B500" s="63"/>
      <c r="C500" s="63"/>
      <c r="D500" s="63"/>
      <c r="E500" s="63"/>
      <c r="F500" s="63"/>
    </row>
    <row r="501" spans="1:6" x14ac:dyDescent="0.3">
      <c r="A501" s="71"/>
      <c r="B501" s="63"/>
      <c r="C501" s="63"/>
      <c r="D501" s="63"/>
      <c r="E501" s="63"/>
      <c r="F501" s="63"/>
    </row>
    <row r="502" spans="1:6" x14ac:dyDescent="0.3">
      <c r="A502" s="71"/>
      <c r="B502" s="63"/>
      <c r="C502" s="63"/>
      <c r="D502" s="63"/>
      <c r="E502" s="63"/>
      <c r="F502" s="63"/>
    </row>
    <row r="503" spans="1:6" x14ac:dyDescent="0.3">
      <c r="A503" s="71"/>
      <c r="B503" s="63"/>
      <c r="C503" s="63"/>
      <c r="D503" s="63"/>
      <c r="E503" s="63"/>
      <c r="F503" s="63"/>
    </row>
    <row r="504" spans="1:6" x14ac:dyDescent="0.3">
      <c r="A504" s="71"/>
      <c r="B504" s="63"/>
      <c r="C504" s="63"/>
      <c r="D504" s="63"/>
      <c r="E504" s="63"/>
      <c r="F504" s="63"/>
    </row>
    <row r="505" spans="1:6" x14ac:dyDescent="0.3">
      <c r="A505" s="71"/>
      <c r="B505" s="63"/>
      <c r="C505" s="63"/>
      <c r="D505" s="63"/>
      <c r="E505" s="63"/>
      <c r="F505" s="63"/>
    </row>
    <row r="506" spans="1:6" x14ac:dyDescent="0.3">
      <c r="A506" s="71"/>
      <c r="B506" s="63"/>
      <c r="C506" s="63"/>
      <c r="D506" s="63"/>
      <c r="E506" s="63"/>
      <c r="F506" s="63"/>
    </row>
    <row r="507" spans="1:6" x14ac:dyDescent="0.3">
      <c r="A507" s="71"/>
      <c r="B507" s="63"/>
      <c r="C507" s="63"/>
      <c r="D507" s="63"/>
      <c r="E507" s="63"/>
      <c r="F507" s="63"/>
    </row>
    <row r="508" spans="1:6" x14ac:dyDescent="0.3">
      <c r="A508" s="71"/>
      <c r="B508" s="63"/>
      <c r="C508" s="63"/>
      <c r="D508" s="63"/>
      <c r="E508" s="63"/>
      <c r="F508" s="63"/>
    </row>
    <row r="509" spans="1:6" x14ac:dyDescent="0.3">
      <c r="A509" s="71"/>
      <c r="B509" s="63"/>
      <c r="C509" s="63"/>
      <c r="D509" s="63"/>
      <c r="E509" s="63"/>
      <c r="F509" s="63"/>
    </row>
    <row r="510" spans="1:6" x14ac:dyDescent="0.3">
      <c r="A510" s="71"/>
      <c r="B510" s="63"/>
      <c r="C510" s="63"/>
      <c r="D510" s="63"/>
      <c r="E510" s="63"/>
      <c r="F510" s="63"/>
    </row>
    <row r="511" spans="1:6" x14ac:dyDescent="0.3">
      <c r="A511" s="71"/>
      <c r="B511" s="63"/>
      <c r="C511" s="63"/>
      <c r="D511" s="63"/>
      <c r="E511" s="63"/>
      <c r="F511" s="63"/>
    </row>
    <row r="512" spans="1:6" x14ac:dyDescent="0.3">
      <c r="A512" s="71"/>
      <c r="B512" s="63"/>
      <c r="C512" s="63"/>
      <c r="D512" s="63"/>
      <c r="E512" s="63"/>
      <c r="F512" s="63"/>
    </row>
    <row r="513" spans="1:6" x14ac:dyDescent="0.3">
      <c r="A513" s="71"/>
      <c r="B513" s="63"/>
      <c r="C513" s="63"/>
      <c r="D513" s="63"/>
      <c r="E513" s="63"/>
      <c r="F513" s="63"/>
    </row>
    <row r="514" spans="1:6" x14ac:dyDescent="0.3">
      <c r="A514" s="71"/>
      <c r="B514" s="63"/>
      <c r="C514" s="63"/>
      <c r="D514" s="63"/>
      <c r="E514" s="63"/>
      <c r="F514" s="63"/>
    </row>
    <row r="515" spans="1:6" x14ac:dyDescent="0.3">
      <c r="A515" s="71"/>
      <c r="B515" s="63"/>
      <c r="C515" s="63"/>
      <c r="D515" s="63"/>
      <c r="E515" s="63"/>
      <c r="F515" s="63"/>
    </row>
    <row r="516" spans="1:6" x14ac:dyDescent="0.3">
      <c r="A516" s="71"/>
      <c r="B516" s="63"/>
      <c r="C516" s="63"/>
      <c r="D516" s="63"/>
      <c r="E516" s="63"/>
      <c r="F516" s="63"/>
    </row>
    <row r="517" spans="1:6" x14ac:dyDescent="0.3">
      <c r="A517" s="71"/>
      <c r="B517" s="63"/>
      <c r="C517" s="63"/>
      <c r="D517" s="63"/>
      <c r="E517" s="63"/>
      <c r="F517" s="63"/>
    </row>
    <row r="518" spans="1:6" x14ac:dyDescent="0.3">
      <c r="A518" s="71"/>
      <c r="B518" s="63"/>
      <c r="C518" s="63"/>
      <c r="D518" s="63"/>
      <c r="E518" s="63"/>
      <c r="F518" s="63"/>
    </row>
    <row r="519" spans="1:6" x14ac:dyDescent="0.3">
      <c r="A519" s="71"/>
      <c r="B519" s="63"/>
      <c r="C519" s="63"/>
      <c r="D519" s="63"/>
      <c r="E519" s="63"/>
      <c r="F519" s="63"/>
    </row>
    <row r="520" spans="1:6" x14ac:dyDescent="0.3">
      <c r="A520" s="71"/>
      <c r="B520" s="63"/>
      <c r="C520" s="63"/>
      <c r="D520" s="63"/>
      <c r="E520" s="63"/>
      <c r="F520" s="63"/>
    </row>
    <row r="521" spans="1:6" x14ac:dyDescent="0.3">
      <c r="A521" s="71"/>
      <c r="B521" s="63"/>
      <c r="C521" s="63"/>
      <c r="D521" s="63"/>
      <c r="E521" s="63"/>
      <c r="F521" s="63"/>
    </row>
    <row r="522" spans="1:6" x14ac:dyDescent="0.3">
      <c r="A522" s="71"/>
      <c r="B522" s="63"/>
      <c r="C522" s="63"/>
      <c r="D522" s="63"/>
      <c r="E522" s="63"/>
      <c r="F522" s="63"/>
    </row>
    <row r="523" spans="1:6" x14ac:dyDescent="0.3">
      <c r="A523" s="71"/>
      <c r="B523" s="63"/>
      <c r="C523" s="63"/>
      <c r="D523" s="63"/>
      <c r="E523" s="63"/>
      <c r="F523" s="63"/>
    </row>
    <row r="524" spans="1:6" x14ac:dyDescent="0.3">
      <c r="A524" s="71"/>
      <c r="B524" s="63"/>
      <c r="C524" s="63"/>
      <c r="D524" s="63"/>
      <c r="E524" s="63"/>
      <c r="F524" s="63"/>
    </row>
    <row r="525" spans="1:6" x14ac:dyDescent="0.3">
      <c r="A525" s="71"/>
      <c r="B525" s="63"/>
      <c r="C525" s="63"/>
      <c r="D525" s="63"/>
      <c r="E525" s="63"/>
      <c r="F525" s="63"/>
    </row>
    <row r="526" spans="1:6" x14ac:dyDescent="0.3">
      <c r="A526" s="71"/>
      <c r="B526" s="63"/>
      <c r="C526" s="63"/>
      <c r="D526" s="63"/>
      <c r="E526" s="63"/>
      <c r="F526" s="63"/>
    </row>
    <row r="527" spans="1:6" x14ac:dyDescent="0.3">
      <c r="A527" s="71"/>
      <c r="B527" s="63"/>
      <c r="C527" s="63"/>
      <c r="D527" s="63"/>
      <c r="E527" s="63"/>
      <c r="F527" s="63"/>
    </row>
    <row r="528" spans="1:6" x14ac:dyDescent="0.3">
      <c r="A528" s="71"/>
      <c r="B528" s="63"/>
      <c r="C528" s="63"/>
      <c r="D528" s="63"/>
      <c r="E528" s="63"/>
      <c r="F528" s="63"/>
    </row>
    <row r="529" spans="1:6" x14ac:dyDescent="0.3">
      <c r="A529" s="71"/>
      <c r="B529" s="63"/>
      <c r="C529" s="63"/>
      <c r="D529" s="63"/>
      <c r="E529" s="63"/>
      <c r="F529" s="63"/>
    </row>
    <row r="530" spans="1:6" x14ac:dyDescent="0.3">
      <c r="A530" s="71"/>
      <c r="B530" s="63"/>
      <c r="C530" s="63"/>
      <c r="D530" s="63"/>
      <c r="E530" s="63"/>
      <c r="F530" s="63"/>
    </row>
    <row r="531" spans="1:6" x14ac:dyDescent="0.3">
      <c r="A531" s="71"/>
      <c r="B531" s="63"/>
      <c r="C531" s="63"/>
      <c r="D531" s="63"/>
      <c r="E531" s="63"/>
      <c r="F531" s="63"/>
    </row>
    <row r="532" spans="1:6" x14ac:dyDescent="0.3">
      <c r="A532" s="71"/>
      <c r="B532" s="63"/>
      <c r="C532" s="63"/>
      <c r="D532" s="63"/>
      <c r="E532" s="63"/>
      <c r="F532" s="63"/>
    </row>
    <row r="533" spans="1:6" x14ac:dyDescent="0.3">
      <c r="A533" s="71"/>
      <c r="B533" s="63"/>
      <c r="C533" s="63"/>
      <c r="D533" s="63"/>
      <c r="E533" s="63"/>
      <c r="F533" s="63"/>
    </row>
    <row r="534" spans="1:6" x14ac:dyDescent="0.3">
      <c r="A534" s="71"/>
      <c r="B534" s="63"/>
      <c r="C534" s="63"/>
      <c r="D534" s="63"/>
      <c r="E534" s="63"/>
      <c r="F534" s="63"/>
    </row>
    <row r="535" spans="1:6" x14ac:dyDescent="0.3">
      <c r="A535" s="71"/>
      <c r="B535" s="63"/>
      <c r="C535" s="63"/>
      <c r="D535" s="63"/>
      <c r="E535" s="63"/>
      <c r="F535" s="63"/>
    </row>
    <row r="536" spans="1:6" x14ac:dyDescent="0.3">
      <c r="A536" s="71"/>
      <c r="B536" s="63"/>
      <c r="C536" s="63"/>
      <c r="D536" s="63"/>
      <c r="E536" s="63"/>
      <c r="F536" s="63"/>
    </row>
    <row r="537" spans="1:6" x14ac:dyDescent="0.3">
      <c r="A537" s="71"/>
      <c r="B537" s="63"/>
      <c r="C537" s="63"/>
      <c r="D537" s="63"/>
      <c r="E537" s="63"/>
      <c r="F537" s="63"/>
    </row>
    <row r="538" spans="1:6" x14ac:dyDescent="0.3">
      <c r="A538" s="71"/>
      <c r="B538" s="63"/>
      <c r="C538" s="63"/>
      <c r="D538" s="63"/>
      <c r="E538" s="63"/>
      <c r="F538" s="63"/>
    </row>
    <row r="539" spans="1:6" x14ac:dyDescent="0.3">
      <c r="A539" s="71"/>
      <c r="B539" s="63"/>
      <c r="C539" s="63"/>
      <c r="D539" s="63"/>
      <c r="E539" s="63"/>
      <c r="F539" s="63"/>
    </row>
    <row r="540" spans="1:6" x14ac:dyDescent="0.3">
      <c r="A540" s="71"/>
      <c r="B540" s="63"/>
      <c r="C540" s="63"/>
      <c r="D540" s="63"/>
      <c r="E540" s="63"/>
      <c r="F540" s="63"/>
    </row>
    <row r="541" spans="1:6" x14ac:dyDescent="0.3">
      <c r="A541" s="71"/>
      <c r="B541" s="63"/>
      <c r="C541" s="63"/>
      <c r="D541" s="63"/>
      <c r="E541" s="63"/>
      <c r="F541" s="63"/>
    </row>
    <row r="542" spans="1:6" x14ac:dyDescent="0.3">
      <c r="A542" s="71"/>
      <c r="B542" s="63"/>
      <c r="C542" s="63"/>
      <c r="D542" s="63"/>
      <c r="E542" s="63"/>
      <c r="F542" s="63"/>
    </row>
    <row r="543" spans="1:6" x14ac:dyDescent="0.3">
      <c r="A543" s="71"/>
      <c r="B543" s="63"/>
      <c r="C543" s="63"/>
      <c r="D543" s="63"/>
      <c r="E543" s="63"/>
      <c r="F543" s="63"/>
    </row>
    <row r="544" spans="1:6" x14ac:dyDescent="0.3">
      <c r="A544" s="71"/>
      <c r="B544" s="63"/>
      <c r="C544" s="63"/>
      <c r="D544" s="63"/>
      <c r="E544" s="63"/>
      <c r="F544" s="63"/>
    </row>
    <row r="545" spans="1:6" x14ac:dyDescent="0.3">
      <c r="A545" s="71"/>
      <c r="B545" s="63"/>
      <c r="C545" s="63"/>
      <c r="D545" s="63"/>
      <c r="E545" s="63"/>
      <c r="F545" s="63"/>
    </row>
    <row r="546" spans="1:6" x14ac:dyDescent="0.3">
      <c r="A546" s="71"/>
      <c r="B546" s="63"/>
      <c r="C546" s="63"/>
      <c r="D546" s="63"/>
      <c r="E546" s="63"/>
      <c r="F546" s="63"/>
    </row>
    <row r="547" spans="1:6" x14ac:dyDescent="0.3">
      <c r="A547" s="71"/>
      <c r="B547" s="63"/>
      <c r="C547" s="63"/>
      <c r="D547" s="63"/>
      <c r="E547" s="63"/>
      <c r="F547" s="63"/>
    </row>
    <row r="548" spans="1:6" x14ac:dyDescent="0.3">
      <c r="A548" s="71"/>
      <c r="B548" s="63"/>
      <c r="C548" s="63"/>
      <c r="D548" s="63"/>
      <c r="E548" s="63"/>
      <c r="F548" s="63"/>
    </row>
    <row r="549" spans="1:6" x14ac:dyDescent="0.3">
      <c r="A549" s="71"/>
      <c r="B549" s="63"/>
      <c r="C549" s="63"/>
      <c r="D549" s="63"/>
      <c r="E549" s="63"/>
      <c r="F549" s="63"/>
    </row>
    <row r="550" spans="1:6" x14ac:dyDescent="0.3">
      <c r="A550" s="71"/>
      <c r="B550" s="63"/>
      <c r="C550" s="63"/>
      <c r="D550" s="63"/>
      <c r="E550" s="63"/>
      <c r="F550" s="63"/>
    </row>
    <row r="551" spans="1:6" x14ac:dyDescent="0.3">
      <c r="A551" s="71"/>
      <c r="B551" s="63"/>
      <c r="C551" s="63"/>
      <c r="D551" s="63"/>
      <c r="E551" s="63"/>
      <c r="F551" s="63"/>
    </row>
    <row r="552" spans="1:6" x14ac:dyDescent="0.3">
      <c r="A552" s="71"/>
      <c r="B552" s="63"/>
      <c r="C552" s="63"/>
      <c r="D552" s="63"/>
      <c r="E552" s="63"/>
      <c r="F552" s="63"/>
    </row>
    <row r="553" spans="1:6" x14ac:dyDescent="0.3">
      <c r="A553" s="71"/>
      <c r="B553" s="63"/>
      <c r="C553" s="63"/>
      <c r="D553" s="63"/>
      <c r="E553" s="63"/>
      <c r="F553" s="63"/>
    </row>
    <row r="554" spans="1:6" x14ac:dyDescent="0.3">
      <c r="A554" s="71"/>
      <c r="B554" s="63"/>
      <c r="C554" s="63"/>
      <c r="D554" s="63"/>
      <c r="E554" s="63"/>
      <c r="F554" s="63"/>
    </row>
    <row r="555" spans="1:6" x14ac:dyDescent="0.3">
      <c r="A555" s="71"/>
      <c r="B555" s="63"/>
      <c r="C555" s="63"/>
      <c r="D555" s="63"/>
      <c r="E555" s="63"/>
      <c r="F555" s="63"/>
    </row>
    <row r="556" spans="1:6" x14ac:dyDescent="0.3">
      <c r="A556" s="71"/>
      <c r="B556" s="63"/>
      <c r="C556" s="63"/>
      <c r="D556" s="63"/>
      <c r="E556" s="63"/>
      <c r="F556" s="63"/>
    </row>
    <row r="557" spans="1:6" x14ac:dyDescent="0.3">
      <c r="A557" s="71"/>
      <c r="B557" s="63"/>
      <c r="C557" s="63"/>
      <c r="D557" s="63"/>
      <c r="E557" s="63"/>
      <c r="F557" s="63"/>
    </row>
    <row r="558" spans="1:6" x14ac:dyDescent="0.3">
      <c r="A558" s="71"/>
      <c r="B558" s="63"/>
      <c r="C558" s="63"/>
      <c r="D558" s="63"/>
      <c r="E558" s="63"/>
      <c r="F558" s="63"/>
    </row>
    <row r="559" spans="1:6" x14ac:dyDescent="0.3">
      <c r="A559" s="71"/>
      <c r="B559" s="63"/>
      <c r="C559" s="63"/>
      <c r="D559" s="63"/>
      <c r="E559" s="63"/>
      <c r="F559" s="63"/>
    </row>
    <row r="560" spans="1:6" x14ac:dyDescent="0.3">
      <c r="A560" s="71"/>
      <c r="B560" s="63"/>
      <c r="C560" s="63"/>
      <c r="D560" s="63"/>
      <c r="E560" s="63"/>
      <c r="F560" s="63"/>
    </row>
    <row r="561" spans="1:6" x14ac:dyDescent="0.3">
      <c r="A561" s="71"/>
      <c r="B561" s="63"/>
      <c r="C561" s="63"/>
      <c r="D561" s="63"/>
      <c r="E561" s="63"/>
      <c r="F561" s="63"/>
    </row>
    <row r="562" spans="1:6" x14ac:dyDescent="0.3">
      <c r="A562" s="71"/>
      <c r="B562" s="63"/>
      <c r="C562" s="63"/>
      <c r="D562" s="63"/>
      <c r="E562" s="63"/>
      <c r="F562" s="63"/>
    </row>
    <row r="563" spans="1:6" x14ac:dyDescent="0.3">
      <c r="A563" s="71"/>
      <c r="B563" s="63"/>
      <c r="C563" s="63"/>
      <c r="D563" s="63"/>
      <c r="E563" s="63"/>
      <c r="F563" s="63"/>
    </row>
    <row r="564" spans="1:6" x14ac:dyDescent="0.3">
      <c r="A564" s="71"/>
      <c r="B564" s="63"/>
      <c r="C564" s="63"/>
      <c r="D564" s="63"/>
      <c r="E564" s="63"/>
      <c r="F564" s="63"/>
    </row>
    <row r="565" spans="1:6" x14ac:dyDescent="0.3">
      <c r="A565" s="71"/>
      <c r="B565" s="63"/>
      <c r="C565" s="63"/>
      <c r="D565" s="63"/>
      <c r="E565" s="63"/>
      <c r="F565" s="63"/>
    </row>
    <row r="566" spans="1:6" x14ac:dyDescent="0.3">
      <c r="A566" s="71"/>
      <c r="B566" s="63"/>
      <c r="C566" s="63"/>
      <c r="D566" s="63"/>
      <c r="E566" s="63"/>
      <c r="F566" s="63"/>
    </row>
    <row r="567" spans="1:6" x14ac:dyDescent="0.3">
      <c r="A567" s="71"/>
      <c r="B567" s="63"/>
      <c r="C567" s="63"/>
      <c r="D567" s="63"/>
      <c r="E567" s="63"/>
      <c r="F567" s="63"/>
    </row>
    <row r="568" spans="1:6" x14ac:dyDescent="0.3">
      <c r="A568" s="71"/>
      <c r="B568" s="63"/>
      <c r="C568" s="63"/>
      <c r="D568" s="63"/>
      <c r="E568" s="63"/>
      <c r="F568" s="63"/>
    </row>
    <row r="569" spans="1:6" x14ac:dyDescent="0.3">
      <c r="A569" s="71"/>
      <c r="B569" s="63"/>
      <c r="C569" s="63"/>
      <c r="D569" s="63"/>
      <c r="E569" s="63"/>
      <c r="F569" s="63"/>
    </row>
    <row r="570" spans="1:6" x14ac:dyDescent="0.3">
      <c r="A570" s="71"/>
      <c r="B570" s="63"/>
      <c r="C570" s="63"/>
      <c r="D570" s="63"/>
      <c r="E570" s="63"/>
      <c r="F570" s="63"/>
    </row>
    <row r="571" spans="1:6" x14ac:dyDescent="0.3">
      <c r="A571" s="71"/>
      <c r="B571" s="63"/>
      <c r="C571" s="63"/>
      <c r="D571" s="63"/>
      <c r="E571" s="63"/>
      <c r="F571" s="63"/>
    </row>
    <row r="572" spans="1:6" x14ac:dyDescent="0.3">
      <c r="A572" s="71"/>
      <c r="B572" s="63"/>
      <c r="C572" s="63"/>
      <c r="D572" s="63"/>
      <c r="E572" s="63"/>
      <c r="F572" s="63"/>
    </row>
    <row r="573" spans="1:6" x14ac:dyDescent="0.3">
      <c r="A573" s="71"/>
      <c r="B573" s="63"/>
      <c r="C573" s="63"/>
      <c r="D573" s="63"/>
      <c r="E573" s="63"/>
      <c r="F573" s="63"/>
    </row>
    <row r="574" spans="1:6" x14ac:dyDescent="0.3">
      <c r="A574" s="71"/>
      <c r="B574" s="63"/>
      <c r="C574" s="63"/>
      <c r="D574" s="63"/>
      <c r="E574" s="63"/>
      <c r="F574" s="63"/>
    </row>
    <row r="575" spans="1:6" x14ac:dyDescent="0.3">
      <c r="A575" s="71"/>
      <c r="B575" s="63"/>
      <c r="C575" s="63"/>
      <c r="D575" s="63"/>
      <c r="E575" s="63"/>
      <c r="F575" s="63"/>
    </row>
    <row r="576" spans="1:6" x14ac:dyDescent="0.3">
      <c r="A576" s="71"/>
      <c r="B576" s="63"/>
      <c r="C576" s="63"/>
      <c r="D576" s="63"/>
      <c r="E576" s="63"/>
      <c r="F576" s="63"/>
    </row>
    <row r="577" spans="1:6" x14ac:dyDescent="0.3">
      <c r="A577" s="71"/>
      <c r="B577" s="63"/>
      <c r="C577" s="63"/>
      <c r="D577" s="63"/>
      <c r="E577" s="63"/>
      <c r="F577" s="63"/>
    </row>
    <row r="578" spans="1:6" x14ac:dyDescent="0.3">
      <c r="A578" s="71"/>
      <c r="B578" s="63"/>
      <c r="C578" s="63"/>
      <c r="D578" s="63"/>
      <c r="E578" s="63"/>
      <c r="F578" s="63"/>
    </row>
    <row r="579" spans="1:6" x14ac:dyDescent="0.3">
      <c r="A579" s="71"/>
      <c r="B579" s="63"/>
      <c r="C579" s="63"/>
      <c r="D579" s="63"/>
      <c r="E579" s="63"/>
      <c r="F579" s="63"/>
    </row>
    <row r="580" spans="1:6" x14ac:dyDescent="0.3">
      <c r="A580" s="71"/>
      <c r="B580" s="63"/>
      <c r="C580" s="63"/>
      <c r="D580" s="63"/>
      <c r="E580" s="63"/>
      <c r="F580" s="63"/>
    </row>
    <row r="581" spans="1:6" x14ac:dyDescent="0.3">
      <c r="A581" s="71"/>
      <c r="B581" s="63"/>
      <c r="C581" s="63"/>
      <c r="D581" s="63"/>
      <c r="E581" s="63"/>
      <c r="F581" s="63"/>
    </row>
    <row r="582" spans="1:6" x14ac:dyDescent="0.3">
      <c r="A582" s="71"/>
      <c r="B582" s="63"/>
      <c r="C582" s="63"/>
      <c r="D582" s="63"/>
      <c r="E582" s="63"/>
      <c r="F582" s="63"/>
    </row>
    <row r="583" spans="1:6" x14ac:dyDescent="0.3">
      <c r="A583" s="71"/>
      <c r="B583" s="63"/>
      <c r="C583" s="63"/>
      <c r="D583" s="63"/>
      <c r="E583" s="63"/>
      <c r="F583" s="63"/>
    </row>
    <row r="584" spans="1:6" x14ac:dyDescent="0.3">
      <c r="A584" s="71"/>
      <c r="B584" s="63"/>
      <c r="C584" s="63"/>
      <c r="D584" s="63"/>
      <c r="E584" s="63"/>
      <c r="F584" s="63"/>
    </row>
    <row r="585" spans="1:6" x14ac:dyDescent="0.3">
      <c r="A585" s="71"/>
      <c r="B585" s="63"/>
      <c r="C585" s="63"/>
      <c r="D585" s="63"/>
      <c r="E585" s="63"/>
      <c r="F585" s="63"/>
    </row>
    <row r="586" spans="1:6" x14ac:dyDescent="0.3">
      <c r="A586" s="71"/>
      <c r="B586" s="63"/>
      <c r="C586" s="63"/>
      <c r="D586" s="63"/>
      <c r="E586" s="63"/>
      <c r="F586" s="63"/>
    </row>
    <row r="587" spans="1:6" x14ac:dyDescent="0.3">
      <c r="A587" s="71"/>
      <c r="B587" s="63"/>
      <c r="C587" s="63"/>
      <c r="D587" s="63"/>
      <c r="E587" s="63"/>
      <c r="F587" s="63"/>
    </row>
    <row r="588" spans="1:6" x14ac:dyDescent="0.3">
      <c r="A588" s="71"/>
      <c r="B588" s="63"/>
      <c r="C588" s="63"/>
      <c r="D588" s="63"/>
      <c r="E588" s="63"/>
      <c r="F588" s="63"/>
    </row>
    <row r="589" spans="1:6" x14ac:dyDescent="0.3">
      <c r="A589" s="71"/>
      <c r="B589" s="63"/>
      <c r="C589" s="63"/>
      <c r="D589" s="63"/>
      <c r="E589" s="63"/>
      <c r="F589" s="63"/>
    </row>
    <row r="590" spans="1:6" x14ac:dyDescent="0.3">
      <c r="A590" s="71"/>
      <c r="B590" s="63"/>
      <c r="C590" s="63"/>
      <c r="D590" s="63"/>
      <c r="E590" s="63"/>
      <c r="F590" s="63"/>
    </row>
    <row r="591" spans="1:6" x14ac:dyDescent="0.3">
      <c r="A591" s="71"/>
      <c r="B591" s="63"/>
      <c r="C591" s="63"/>
      <c r="D591" s="63"/>
      <c r="E591" s="63"/>
      <c r="F591" s="63"/>
    </row>
    <row r="592" spans="1:6" x14ac:dyDescent="0.3">
      <c r="A592" s="71"/>
      <c r="B592" s="63"/>
      <c r="C592" s="63"/>
      <c r="D592" s="63"/>
      <c r="E592" s="63"/>
      <c r="F592" s="63"/>
    </row>
    <row r="593" spans="1:6" x14ac:dyDescent="0.3">
      <c r="A593" s="71"/>
      <c r="B593" s="63"/>
      <c r="C593" s="63"/>
      <c r="D593" s="63"/>
      <c r="E593" s="63"/>
      <c r="F593" s="63"/>
    </row>
    <row r="594" spans="1:6" x14ac:dyDescent="0.3">
      <c r="A594" s="71"/>
      <c r="B594" s="63"/>
      <c r="C594" s="63"/>
      <c r="D594" s="63"/>
      <c r="E594" s="63"/>
      <c r="F594" s="63"/>
    </row>
    <row r="595" spans="1:6" x14ac:dyDescent="0.3">
      <c r="A595" s="71"/>
      <c r="B595" s="63"/>
      <c r="C595" s="63"/>
      <c r="D595" s="63"/>
      <c r="E595" s="63"/>
      <c r="F595" s="63"/>
    </row>
    <row r="596" spans="1:6" x14ac:dyDescent="0.3">
      <c r="A596" s="71"/>
      <c r="B596" s="63"/>
      <c r="C596" s="63"/>
      <c r="D596" s="63"/>
      <c r="E596" s="63"/>
      <c r="F596" s="63"/>
    </row>
    <row r="597" spans="1:6" x14ac:dyDescent="0.3">
      <c r="A597" s="71"/>
      <c r="B597" s="63"/>
      <c r="C597" s="63"/>
      <c r="D597" s="63"/>
      <c r="E597" s="63"/>
      <c r="F597" s="63"/>
    </row>
    <row r="598" spans="1:6" x14ac:dyDescent="0.3">
      <c r="A598" s="71"/>
      <c r="B598" s="63"/>
      <c r="C598" s="63"/>
      <c r="D598" s="63"/>
      <c r="E598" s="63"/>
      <c r="F598" s="63"/>
    </row>
    <row r="599" spans="1:6" x14ac:dyDescent="0.3">
      <c r="A599" s="71"/>
      <c r="B599" s="63"/>
      <c r="C599" s="63"/>
      <c r="D599" s="63"/>
      <c r="E599" s="63"/>
      <c r="F599" s="63"/>
    </row>
    <row r="600" spans="1:6" x14ac:dyDescent="0.3">
      <c r="A600" s="71"/>
      <c r="B600" s="63"/>
      <c r="C600" s="63"/>
      <c r="D600" s="63"/>
      <c r="E600" s="63"/>
      <c r="F600" s="63"/>
    </row>
    <row r="601" spans="1:6" x14ac:dyDescent="0.3">
      <c r="A601" s="71"/>
      <c r="B601" s="63"/>
      <c r="C601" s="63"/>
      <c r="D601" s="63"/>
      <c r="E601" s="63"/>
      <c r="F601" s="63"/>
    </row>
    <row r="602" spans="1:6" x14ac:dyDescent="0.3">
      <c r="A602" s="71"/>
      <c r="B602" s="63"/>
      <c r="C602" s="63"/>
      <c r="D602" s="63"/>
      <c r="E602" s="63"/>
      <c r="F602" s="63"/>
    </row>
    <row r="603" spans="1:6" x14ac:dyDescent="0.3">
      <c r="A603" s="71"/>
      <c r="B603" s="63"/>
      <c r="C603" s="63"/>
      <c r="D603" s="63"/>
      <c r="E603" s="63"/>
      <c r="F603" s="63"/>
    </row>
    <row r="604" spans="1:6" x14ac:dyDescent="0.3">
      <c r="A604" s="71"/>
      <c r="B604" s="63"/>
      <c r="C604" s="63"/>
      <c r="D604" s="63"/>
      <c r="E604" s="63"/>
      <c r="F604" s="63"/>
    </row>
    <row r="605" spans="1:6" x14ac:dyDescent="0.3">
      <c r="A605" s="71"/>
      <c r="B605" s="63"/>
      <c r="C605" s="63"/>
      <c r="D605" s="63"/>
      <c r="E605" s="63"/>
      <c r="F605" s="63"/>
    </row>
    <row r="606" spans="1:6" x14ac:dyDescent="0.3">
      <c r="A606" s="71"/>
      <c r="B606" s="63"/>
      <c r="C606" s="63"/>
      <c r="D606" s="63"/>
      <c r="E606" s="63"/>
      <c r="F606" s="63"/>
    </row>
    <row r="607" spans="1:6" x14ac:dyDescent="0.3">
      <c r="A607" s="71"/>
      <c r="B607" s="63"/>
      <c r="C607" s="63"/>
      <c r="D607" s="63"/>
      <c r="E607" s="63"/>
      <c r="F607" s="63"/>
    </row>
    <row r="608" spans="1:6" x14ac:dyDescent="0.3">
      <c r="A608" s="71"/>
      <c r="B608" s="63"/>
      <c r="C608" s="63"/>
      <c r="D608" s="63"/>
      <c r="E608" s="63"/>
      <c r="F608" s="63"/>
    </row>
    <row r="609" spans="1:6" x14ac:dyDescent="0.3">
      <c r="A609" s="71"/>
      <c r="B609" s="63"/>
      <c r="C609" s="63"/>
      <c r="D609" s="63"/>
      <c r="E609" s="63"/>
      <c r="F609" s="63"/>
    </row>
    <row r="610" spans="1:6" x14ac:dyDescent="0.3">
      <c r="A610" s="71"/>
      <c r="B610" s="63"/>
      <c r="C610" s="63"/>
      <c r="D610" s="63"/>
      <c r="E610" s="63"/>
      <c r="F610" s="63"/>
    </row>
    <row r="611" spans="1:6" x14ac:dyDescent="0.3">
      <c r="A611" s="71"/>
      <c r="B611" s="63"/>
      <c r="C611" s="63"/>
      <c r="D611" s="63"/>
      <c r="E611" s="63"/>
      <c r="F611" s="63"/>
    </row>
    <row r="612" spans="1:6" x14ac:dyDescent="0.3">
      <c r="A612" s="71"/>
      <c r="B612" s="63"/>
      <c r="C612" s="63"/>
      <c r="D612" s="63"/>
      <c r="E612" s="63"/>
      <c r="F612" s="63"/>
    </row>
    <row r="613" spans="1:6" x14ac:dyDescent="0.3">
      <c r="A613" s="71"/>
      <c r="B613" s="63"/>
      <c r="C613" s="63"/>
      <c r="D613" s="63"/>
      <c r="E613" s="63"/>
      <c r="F613" s="63"/>
    </row>
    <row r="614" spans="1:6" x14ac:dyDescent="0.3">
      <c r="A614" s="71"/>
      <c r="B614" s="63"/>
      <c r="C614" s="63"/>
      <c r="D614" s="63"/>
      <c r="E614" s="63"/>
      <c r="F614" s="63"/>
    </row>
    <row r="615" spans="1:6" x14ac:dyDescent="0.3">
      <c r="A615" s="71"/>
      <c r="B615" s="63"/>
      <c r="C615" s="63"/>
      <c r="D615" s="63"/>
      <c r="E615" s="63"/>
      <c r="F615" s="63"/>
    </row>
    <row r="616" spans="1:6" x14ac:dyDescent="0.3">
      <c r="A616" s="71"/>
      <c r="B616" s="63"/>
      <c r="C616" s="63"/>
      <c r="D616" s="63"/>
      <c r="E616" s="63"/>
      <c r="F616" s="63"/>
    </row>
    <row r="617" spans="1:6" x14ac:dyDescent="0.3">
      <c r="A617" s="71"/>
      <c r="B617" s="63"/>
      <c r="C617" s="63"/>
      <c r="D617" s="63"/>
      <c r="E617" s="63"/>
      <c r="F617" s="63"/>
    </row>
    <row r="618" spans="1:6" x14ac:dyDescent="0.3">
      <c r="A618" s="71"/>
      <c r="B618" s="63"/>
      <c r="C618" s="63"/>
      <c r="D618" s="63"/>
      <c r="E618" s="63"/>
      <c r="F618" s="63"/>
    </row>
    <row r="619" spans="1:6" x14ac:dyDescent="0.3">
      <c r="A619" s="71"/>
      <c r="B619" s="63"/>
      <c r="C619" s="63"/>
      <c r="D619" s="63"/>
      <c r="E619" s="63"/>
      <c r="F619" s="63"/>
    </row>
    <row r="620" spans="1:6" x14ac:dyDescent="0.3">
      <c r="A620" s="71"/>
      <c r="B620" s="63"/>
      <c r="C620" s="63"/>
      <c r="D620" s="63"/>
      <c r="E620" s="63"/>
      <c r="F620" s="63"/>
    </row>
    <row r="621" spans="1:6" x14ac:dyDescent="0.3">
      <c r="A621" s="71"/>
      <c r="B621" s="63"/>
      <c r="C621" s="63"/>
      <c r="D621" s="63"/>
      <c r="E621" s="63"/>
      <c r="F621" s="63"/>
    </row>
    <row r="622" spans="1:6" x14ac:dyDescent="0.3">
      <c r="A622" s="71"/>
      <c r="B622" s="63"/>
      <c r="C622" s="63"/>
      <c r="D622" s="63"/>
      <c r="E622" s="63"/>
      <c r="F622" s="63"/>
    </row>
    <row r="623" spans="1:6" x14ac:dyDescent="0.3">
      <c r="A623" s="71"/>
      <c r="B623" s="63"/>
      <c r="C623" s="63"/>
      <c r="D623" s="63"/>
      <c r="E623" s="63"/>
      <c r="F623" s="63"/>
    </row>
    <row r="624" spans="1:6" x14ac:dyDescent="0.3">
      <c r="A624" s="71"/>
      <c r="B624" s="63"/>
      <c r="C624" s="63"/>
      <c r="D624" s="63"/>
      <c r="E624" s="63"/>
      <c r="F624" s="63"/>
    </row>
    <row r="625" spans="1:6" x14ac:dyDescent="0.3">
      <c r="A625" s="71"/>
      <c r="B625" s="63"/>
      <c r="C625" s="63"/>
      <c r="D625" s="63"/>
      <c r="E625" s="63"/>
      <c r="F625" s="63"/>
    </row>
    <row r="626" spans="1:6" x14ac:dyDescent="0.3">
      <c r="A626" s="71"/>
      <c r="B626" s="63"/>
      <c r="C626" s="63"/>
      <c r="D626" s="63"/>
      <c r="E626" s="63"/>
      <c r="F626" s="63"/>
    </row>
    <row r="627" spans="1:6" x14ac:dyDescent="0.3">
      <c r="A627" s="71"/>
      <c r="B627" s="63"/>
      <c r="C627" s="63"/>
      <c r="D627" s="63"/>
      <c r="E627" s="63"/>
      <c r="F627" s="63"/>
    </row>
    <row r="628" spans="1:6" x14ac:dyDescent="0.3">
      <c r="A628" s="71"/>
      <c r="B628" s="63"/>
      <c r="C628" s="63"/>
      <c r="D628" s="63"/>
      <c r="E628" s="63"/>
      <c r="F628" s="63"/>
    </row>
    <row r="629" spans="1:6" x14ac:dyDescent="0.3">
      <c r="A629" s="71"/>
      <c r="B629" s="63"/>
      <c r="C629" s="63"/>
      <c r="D629" s="63"/>
      <c r="E629" s="63"/>
      <c r="F629" s="63"/>
    </row>
    <row r="630" spans="1:6" x14ac:dyDescent="0.3">
      <c r="A630" s="71"/>
      <c r="B630" s="63"/>
      <c r="C630" s="63"/>
      <c r="D630" s="63"/>
      <c r="E630" s="63"/>
      <c r="F630" s="63"/>
    </row>
    <row r="631" spans="1:6" x14ac:dyDescent="0.3">
      <c r="A631" s="71"/>
      <c r="B631" s="63"/>
      <c r="C631" s="63"/>
      <c r="D631" s="63"/>
      <c r="E631" s="63"/>
      <c r="F631" s="63"/>
    </row>
    <row r="632" spans="1:6" x14ac:dyDescent="0.3">
      <c r="A632" s="71"/>
      <c r="B632" s="63"/>
      <c r="C632" s="63"/>
      <c r="D632" s="63"/>
      <c r="E632" s="63"/>
      <c r="F632" s="63"/>
    </row>
    <row r="633" spans="1:6" x14ac:dyDescent="0.3">
      <c r="A633" s="71"/>
      <c r="B633" s="63"/>
      <c r="C633" s="63"/>
      <c r="D633" s="63"/>
      <c r="E633" s="63"/>
      <c r="F633" s="63"/>
    </row>
    <row r="634" spans="1:6" x14ac:dyDescent="0.3">
      <c r="A634" s="71"/>
      <c r="B634" s="63"/>
      <c r="C634" s="63"/>
      <c r="D634" s="63"/>
      <c r="E634" s="63"/>
      <c r="F634" s="63"/>
    </row>
    <row r="635" spans="1:6" x14ac:dyDescent="0.3">
      <c r="A635" s="71"/>
      <c r="B635" s="63"/>
      <c r="C635" s="63"/>
      <c r="D635" s="63"/>
      <c r="E635" s="63"/>
      <c r="F635" s="63"/>
    </row>
    <row r="636" spans="1:6" x14ac:dyDescent="0.3">
      <c r="A636" s="71"/>
      <c r="B636" s="63"/>
      <c r="C636" s="63"/>
      <c r="D636" s="63"/>
      <c r="E636" s="63"/>
      <c r="F636" s="63"/>
    </row>
    <row r="637" spans="1:6" x14ac:dyDescent="0.3">
      <c r="A637" s="71"/>
      <c r="B637" s="63"/>
      <c r="C637" s="63"/>
      <c r="D637" s="63"/>
      <c r="E637" s="63"/>
      <c r="F637" s="63"/>
    </row>
    <row r="638" spans="1:6" x14ac:dyDescent="0.3">
      <c r="A638" s="71"/>
      <c r="B638" s="63"/>
      <c r="C638" s="63"/>
      <c r="D638" s="63"/>
      <c r="E638" s="63"/>
      <c r="F638" s="63"/>
    </row>
    <row r="639" spans="1:6" x14ac:dyDescent="0.3">
      <c r="A639" s="71"/>
      <c r="B639" s="63"/>
      <c r="C639" s="63"/>
      <c r="D639" s="63"/>
      <c r="E639" s="63"/>
      <c r="F639" s="63"/>
    </row>
    <row r="640" spans="1:6" x14ac:dyDescent="0.3">
      <c r="A640" s="71"/>
      <c r="B640" s="63"/>
      <c r="C640" s="63"/>
      <c r="D640" s="63"/>
      <c r="E640" s="63"/>
      <c r="F640" s="63"/>
    </row>
    <row r="641" spans="1:6" x14ac:dyDescent="0.3">
      <c r="A641" s="71"/>
      <c r="B641" s="63"/>
      <c r="C641" s="63"/>
      <c r="D641" s="63"/>
      <c r="E641" s="63"/>
      <c r="F641" s="63"/>
    </row>
    <row r="642" spans="1:6" x14ac:dyDescent="0.3">
      <c r="A642" s="71"/>
      <c r="B642" s="63"/>
      <c r="C642" s="63"/>
      <c r="D642" s="63"/>
      <c r="E642" s="63"/>
      <c r="F642" s="63"/>
    </row>
    <row r="643" spans="1:6" x14ac:dyDescent="0.3">
      <c r="A643" s="71"/>
      <c r="B643" s="63"/>
      <c r="C643" s="63"/>
      <c r="D643" s="63"/>
      <c r="E643" s="63"/>
      <c r="F643" s="63"/>
    </row>
    <row r="644" spans="1:6" x14ac:dyDescent="0.3">
      <c r="A644" s="71"/>
      <c r="B644" s="63"/>
      <c r="C644" s="63"/>
      <c r="D644" s="63"/>
      <c r="E644" s="63"/>
      <c r="F644" s="63"/>
    </row>
    <row r="645" spans="1:6" x14ac:dyDescent="0.3">
      <c r="A645" s="71"/>
      <c r="B645" s="63"/>
      <c r="C645" s="63"/>
      <c r="D645" s="63"/>
      <c r="E645" s="63"/>
      <c r="F645" s="63"/>
    </row>
    <row r="646" spans="1:6" x14ac:dyDescent="0.3">
      <c r="A646" s="71"/>
      <c r="B646" s="63"/>
      <c r="C646" s="63"/>
      <c r="D646" s="63"/>
      <c r="E646" s="63"/>
      <c r="F646" s="63"/>
    </row>
    <row r="647" spans="1:6" x14ac:dyDescent="0.3">
      <c r="A647" s="71"/>
      <c r="B647" s="63"/>
      <c r="C647" s="63"/>
      <c r="D647" s="63"/>
      <c r="E647" s="63"/>
      <c r="F647" s="63"/>
    </row>
    <row r="648" spans="1:6" x14ac:dyDescent="0.3">
      <c r="A648" s="71"/>
      <c r="B648" s="63"/>
      <c r="C648" s="63"/>
      <c r="D648" s="63"/>
      <c r="E648" s="63"/>
      <c r="F648" s="63"/>
    </row>
    <row r="649" spans="1:6" x14ac:dyDescent="0.3">
      <c r="A649" s="71"/>
      <c r="B649" s="63"/>
      <c r="C649" s="63"/>
      <c r="D649" s="63"/>
      <c r="E649" s="63"/>
      <c r="F649" s="63"/>
    </row>
    <row r="650" spans="1:6" x14ac:dyDescent="0.3">
      <c r="A650" s="71"/>
      <c r="B650" s="63"/>
      <c r="C650" s="63"/>
      <c r="D650" s="63"/>
      <c r="E650" s="63"/>
      <c r="F650" s="63"/>
    </row>
    <row r="651" spans="1:6" x14ac:dyDescent="0.3">
      <c r="A651" s="71"/>
      <c r="B651" s="63"/>
      <c r="C651" s="63"/>
      <c r="D651" s="63"/>
      <c r="E651" s="63"/>
      <c r="F651" s="63"/>
    </row>
    <row r="652" spans="1:6" x14ac:dyDescent="0.3">
      <c r="A652" s="71"/>
      <c r="B652" s="63"/>
      <c r="C652" s="63"/>
      <c r="D652" s="63"/>
      <c r="E652" s="63"/>
      <c r="F652" s="63"/>
    </row>
    <row r="653" spans="1:6" x14ac:dyDescent="0.3">
      <c r="A653" s="71"/>
      <c r="B653" s="63"/>
      <c r="C653" s="63"/>
      <c r="D653" s="63"/>
      <c r="E653" s="63"/>
      <c r="F653" s="63"/>
    </row>
    <row r="654" spans="1:6" x14ac:dyDescent="0.3">
      <c r="A654" s="71"/>
      <c r="B654" s="63"/>
      <c r="C654" s="63"/>
      <c r="D654" s="63"/>
      <c r="E654" s="63"/>
      <c r="F654" s="63"/>
    </row>
    <row r="655" spans="1:6" x14ac:dyDescent="0.3">
      <c r="A655" s="71"/>
      <c r="B655" s="63"/>
      <c r="C655" s="63"/>
      <c r="D655" s="63"/>
      <c r="E655" s="63"/>
      <c r="F655" s="63"/>
    </row>
    <row r="656" spans="1:6" x14ac:dyDescent="0.3">
      <c r="A656" s="71"/>
      <c r="B656" s="63"/>
      <c r="C656" s="63"/>
      <c r="D656" s="63"/>
      <c r="E656" s="63"/>
      <c r="F656" s="63"/>
    </row>
    <row r="657" spans="1:6" x14ac:dyDescent="0.3">
      <c r="A657" s="71"/>
      <c r="B657" s="63"/>
      <c r="C657" s="63"/>
      <c r="D657" s="63"/>
      <c r="E657" s="63"/>
      <c r="F657" s="63"/>
    </row>
    <row r="658" spans="1:6" x14ac:dyDescent="0.3">
      <c r="A658" s="71"/>
      <c r="B658" s="63"/>
      <c r="C658" s="63"/>
      <c r="D658" s="63"/>
      <c r="E658" s="63"/>
      <c r="F658" s="63"/>
    </row>
    <row r="659" spans="1:6" x14ac:dyDescent="0.3">
      <c r="A659" s="71"/>
      <c r="B659" s="63"/>
      <c r="C659" s="63"/>
      <c r="D659" s="63"/>
      <c r="E659" s="63"/>
      <c r="F659" s="63"/>
    </row>
    <row r="660" spans="1:6" x14ac:dyDescent="0.3">
      <c r="A660" s="71"/>
      <c r="B660" s="63"/>
      <c r="C660" s="63"/>
      <c r="D660" s="63"/>
      <c r="E660" s="63"/>
      <c r="F660" s="63"/>
    </row>
    <row r="661" spans="1:6" x14ac:dyDescent="0.3">
      <c r="A661" s="71"/>
      <c r="B661" s="63"/>
      <c r="C661" s="63"/>
      <c r="D661" s="63"/>
      <c r="E661" s="63"/>
      <c r="F661" s="63"/>
    </row>
    <row r="662" spans="1:6" x14ac:dyDescent="0.3">
      <c r="A662" s="71"/>
      <c r="B662" s="63"/>
      <c r="C662" s="63"/>
      <c r="D662" s="63"/>
      <c r="E662" s="63"/>
      <c r="F662" s="63"/>
    </row>
    <row r="663" spans="1:6" x14ac:dyDescent="0.3">
      <c r="A663" s="71"/>
      <c r="B663" s="63"/>
      <c r="C663" s="63"/>
      <c r="D663" s="63"/>
      <c r="E663" s="63"/>
      <c r="F663" s="63"/>
    </row>
    <row r="664" spans="1:6" x14ac:dyDescent="0.3">
      <c r="A664" s="71"/>
      <c r="B664" s="63"/>
      <c r="C664" s="63"/>
      <c r="D664" s="63"/>
      <c r="E664" s="63"/>
      <c r="F664" s="63"/>
    </row>
    <row r="665" spans="1:6" x14ac:dyDescent="0.3">
      <c r="A665" s="71"/>
      <c r="B665" s="63"/>
      <c r="C665" s="63"/>
      <c r="D665" s="63"/>
      <c r="E665" s="63"/>
      <c r="F665" s="63"/>
    </row>
    <row r="666" spans="1:6" x14ac:dyDescent="0.3">
      <c r="A666" s="71"/>
      <c r="B666" s="63"/>
      <c r="C666" s="63"/>
      <c r="D666" s="63"/>
      <c r="E666" s="63"/>
      <c r="F666" s="63"/>
    </row>
    <row r="667" spans="1:6" x14ac:dyDescent="0.3">
      <c r="A667" s="71"/>
      <c r="B667" s="63"/>
      <c r="C667" s="63"/>
      <c r="D667" s="63"/>
      <c r="E667" s="63"/>
      <c r="F667" s="63"/>
    </row>
    <row r="668" spans="1:6" x14ac:dyDescent="0.3">
      <c r="A668" s="71"/>
      <c r="B668" s="63"/>
      <c r="C668" s="63"/>
      <c r="D668" s="63"/>
      <c r="E668" s="63"/>
      <c r="F668" s="63"/>
    </row>
    <row r="669" spans="1:6" x14ac:dyDescent="0.3">
      <c r="A669" s="71"/>
      <c r="B669" s="63"/>
      <c r="C669" s="63"/>
      <c r="D669" s="63"/>
      <c r="E669" s="63"/>
      <c r="F669" s="63"/>
    </row>
    <row r="670" spans="1:6" x14ac:dyDescent="0.3">
      <c r="A670" s="71"/>
      <c r="B670" s="63"/>
      <c r="C670" s="63"/>
      <c r="D670" s="63"/>
      <c r="E670" s="63"/>
      <c r="F670" s="63"/>
    </row>
    <row r="671" spans="1:6" x14ac:dyDescent="0.3">
      <c r="A671" s="71"/>
      <c r="B671" s="63"/>
      <c r="C671" s="63"/>
      <c r="D671" s="63"/>
      <c r="E671" s="63"/>
      <c r="F671" s="63"/>
    </row>
    <row r="672" spans="1:6" x14ac:dyDescent="0.3">
      <c r="A672" s="71"/>
      <c r="B672" s="63"/>
      <c r="C672" s="63"/>
      <c r="D672" s="63"/>
      <c r="E672" s="63"/>
      <c r="F672" s="63"/>
    </row>
    <row r="673" spans="1:6" x14ac:dyDescent="0.3">
      <c r="A673" s="71"/>
      <c r="B673" s="63"/>
      <c r="C673" s="63"/>
      <c r="D673" s="63"/>
      <c r="E673" s="63"/>
      <c r="F673" s="63"/>
    </row>
    <row r="674" spans="1:6" x14ac:dyDescent="0.3">
      <c r="A674" s="71"/>
      <c r="B674" s="63"/>
      <c r="C674" s="63"/>
      <c r="D674" s="63"/>
      <c r="E674" s="63"/>
      <c r="F674" s="63"/>
    </row>
    <row r="675" spans="1:6" x14ac:dyDescent="0.3">
      <c r="A675" s="71"/>
      <c r="B675" s="63"/>
      <c r="C675" s="63"/>
      <c r="D675" s="63"/>
      <c r="E675" s="63"/>
      <c r="F675" s="63"/>
    </row>
    <row r="676" spans="1:6" x14ac:dyDescent="0.3">
      <c r="A676" s="71"/>
      <c r="B676" s="63"/>
      <c r="C676" s="63"/>
      <c r="D676" s="63"/>
      <c r="E676" s="63"/>
      <c r="F676" s="63"/>
    </row>
    <row r="677" spans="1:6" x14ac:dyDescent="0.3">
      <c r="A677" s="71"/>
      <c r="B677" s="63"/>
      <c r="C677" s="63"/>
      <c r="D677" s="63"/>
      <c r="E677" s="63"/>
      <c r="F677" s="63"/>
    </row>
    <row r="678" spans="1:6" x14ac:dyDescent="0.3">
      <c r="A678" s="71"/>
      <c r="B678" s="63"/>
      <c r="C678" s="63"/>
      <c r="D678" s="63"/>
      <c r="E678" s="63"/>
      <c r="F678" s="63"/>
    </row>
    <row r="679" spans="1:6" x14ac:dyDescent="0.3">
      <c r="A679" s="71"/>
      <c r="B679" s="63"/>
      <c r="C679" s="63"/>
      <c r="D679" s="63"/>
      <c r="E679" s="63"/>
      <c r="F679" s="63"/>
    </row>
    <row r="680" spans="1:6" x14ac:dyDescent="0.3">
      <c r="A680" s="71"/>
      <c r="B680" s="63"/>
      <c r="C680" s="63"/>
      <c r="D680" s="63"/>
      <c r="E680" s="63"/>
      <c r="F680" s="63"/>
    </row>
    <row r="681" spans="1:6" x14ac:dyDescent="0.3">
      <c r="A681" s="71"/>
      <c r="B681" s="63"/>
      <c r="C681" s="63"/>
      <c r="D681" s="63"/>
      <c r="E681" s="63"/>
      <c r="F681" s="63"/>
    </row>
    <row r="682" spans="1:6" x14ac:dyDescent="0.3">
      <c r="A682" s="71"/>
      <c r="B682" s="63"/>
      <c r="C682" s="63"/>
      <c r="D682" s="63"/>
      <c r="E682" s="63"/>
      <c r="F682" s="63"/>
    </row>
    <row r="683" spans="1:6" x14ac:dyDescent="0.3">
      <c r="A683" s="71"/>
      <c r="B683" s="63"/>
      <c r="C683" s="63"/>
      <c r="D683" s="63"/>
      <c r="E683" s="63"/>
      <c r="F683" s="63"/>
    </row>
    <row r="684" spans="1:6" x14ac:dyDescent="0.3">
      <c r="A684" s="71"/>
      <c r="B684" s="63"/>
      <c r="C684" s="63"/>
      <c r="D684" s="63"/>
      <c r="E684" s="63"/>
      <c r="F684" s="63"/>
    </row>
    <row r="685" spans="1:6" x14ac:dyDescent="0.3">
      <c r="A685" s="71"/>
      <c r="B685" s="63"/>
      <c r="C685" s="63"/>
      <c r="D685" s="63"/>
      <c r="E685" s="63"/>
      <c r="F685" s="63"/>
    </row>
    <row r="686" spans="1:6" x14ac:dyDescent="0.3">
      <c r="A686" s="71"/>
      <c r="B686" s="63"/>
      <c r="C686" s="63"/>
      <c r="D686" s="63"/>
      <c r="E686" s="63"/>
      <c r="F686" s="63"/>
    </row>
    <row r="687" spans="1:6" x14ac:dyDescent="0.3">
      <c r="A687" s="71"/>
      <c r="B687" s="63"/>
      <c r="C687" s="63"/>
      <c r="D687" s="63"/>
      <c r="E687" s="63"/>
      <c r="F687" s="63"/>
    </row>
    <row r="688" spans="1:6" x14ac:dyDescent="0.3">
      <c r="A688" s="71"/>
      <c r="B688" s="63"/>
      <c r="C688" s="63"/>
      <c r="D688" s="63"/>
      <c r="E688" s="63"/>
      <c r="F688" s="63"/>
    </row>
    <row r="689" spans="1:6" x14ac:dyDescent="0.3">
      <c r="A689" s="71"/>
      <c r="B689" s="63"/>
      <c r="C689" s="63"/>
      <c r="D689" s="63"/>
      <c r="E689" s="63"/>
      <c r="F689" s="63"/>
    </row>
    <row r="690" spans="1:6" x14ac:dyDescent="0.3">
      <c r="A690" s="71"/>
      <c r="B690" s="63"/>
      <c r="C690" s="63"/>
      <c r="D690" s="63"/>
      <c r="E690" s="63"/>
      <c r="F690" s="63"/>
    </row>
    <row r="691" spans="1:6" x14ac:dyDescent="0.3">
      <c r="A691" s="71"/>
      <c r="B691" s="63"/>
      <c r="C691" s="63"/>
      <c r="D691" s="63"/>
      <c r="E691" s="63"/>
      <c r="F691" s="63"/>
    </row>
    <row r="692" spans="1:6" x14ac:dyDescent="0.3">
      <c r="A692" s="71"/>
      <c r="B692" s="63"/>
      <c r="C692" s="63"/>
      <c r="D692" s="63"/>
      <c r="E692" s="63"/>
      <c r="F692" s="63"/>
    </row>
    <row r="693" spans="1:6" x14ac:dyDescent="0.3">
      <c r="A693" s="71"/>
      <c r="B693" s="63"/>
      <c r="C693" s="63"/>
      <c r="D693" s="63"/>
      <c r="E693" s="63"/>
      <c r="F693" s="63"/>
    </row>
    <row r="694" spans="1:6" x14ac:dyDescent="0.3">
      <c r="A694" s="71"/>
      <c r="B694" s="63"/>
      <c r="C694" s="63"/>
      <c r="D694" s="63"/>
      <c r="E694" s="63"/>
      <c r="F694" s="63"/>
    </row>
    <row r="695" spans="1:6" x14ac:dyDescent="0.3">
      <c r="A695" s="71"/>
      <c r="B695" s="63"/>
      <c r="C695" s="63"/>
      <c r="D695" s="63"/>
      <c r="E695" s="63"/>
      <c r="F695" s="63"/>
    </row>
    <row r="696" spans="1:6" x14ac:dyDescent="0.3">
      <c r="A696" s="71"/>
      <c r="B696" s="63"/>
      <c r="C696" s="63"/>
      <c r="D696" s="63"/>
      <c r="E696" s="63"/>
      <c r="F696" s="63"/>
    </row>
    <row r="697" spans="1:6" x14ac:dyDescent="0.3">
      <c r="A697" s="71"/>
      <c r="B697" s="63"/>
      <c r="C697" s="63"/>
      <c r="D697" s="63"/>
      <c r="E697" s="63"/>
      <c r="F697" s="63"/>
    </row>
    <row r="698" spans="1:6" x14ac:dyDescent="0.3">
      <c r="A698" s="71"/>
      <c r="B698" s="63"/>
      <c r="C698" s="63"/>
      <c r="D698" s="63"/>
      <c r="E698" s="63"/>
      <c r="F698" s="63"/>
    </row>
    <row r="699" spans="1:6" x14ac:dyDescent="0.3">
      <c r="A699" s="71"/>
      <c r="B699" s="63"/>
      <c r="C699" s="63"/>
      <c r="D699" s="63"/>
      <c r="E699" s="63"/>
      <c r="F699" s="63"/>
    </row>
    <row r="700" spans="1:6" x14ac:dyDescent="0.3">
      <c r="A700" s="71"/>
      <c r="B700" s="63"/>
      <c r="C700" s="63"/>
      <c r="D700" s="63"/>
      <c r="E700" s="63"/>
      <c r="F700" s="63"/>
    </row>
    <row r="701" spans="1:6" x14ac:dyDescent="0.3">
      <c r="A701" s="71"/>
      <c r="B701" s="63"/>
      <c r="C701" s="63"/>
      <c r="D701" s="63"/>
      <c r="E701" s="63"/>
      <c r="F701" s="63"/>
    </row>
    <row r="702" spans="1:6" x14ac:dyDescent="0.3">
      <c r="A702" s="71"/>
      <c r="B702" s="63"/>
      <c r="C702" s="63"/>
      <c r="D702" s="63"/>
      <c r="E702" s="63"/>
      <c r="F702" s="63"/>
    </row>
    <row r="703" spans="1:6" x14ac:dyDescent="0.3">
      <c r="A703" s="71"/>
      <c r="B703" s="63"/>
      <c r="C703" s="63"/>
      <c r="D703" s="63"/>
      <c r="E703" s="63"/>
      <c r="F703" s="63"/>
    </row>
    <row r="704" spans="1:6" x14ac:dyDescent="0.3">
      <c r="A704" s="71"/>
      <c r="B704" s="63"/>
      <c r="C704" s="63"/>
      <c r="D704" s="63"/>
      <c r="E704" s="63"/>
      <c r="F704" s="63"/>
    </row>
    <row r="705" spans="1:6" x14ac:dyDescent="0.3">
      <c r="A705" s="71"/>
      <c r="B705" s="63"/>
      <c r="C705" s="63"/>
      <c r="D705" s="63"/>
      <c r="E705" s="63"/>
      <c r="F705" s="63"/>
    </row>
    <row r="706" spans="1:6" x14ac:dyDescent="0.3">
      <c r="A706" s="71"/>
      <c r="B706" s="63"/>
      <c r="C706" s="63"/>
      <c r="D706" s="63"/>
      <c r="E706" s="63"/>
      <c r="F706" s="63"/>
    </row>
    <row r="707" spans="1:6" x14ac:dyDescent="0.3">
      <c r="A707" s="71"/>
      <c r="B707" s="63"/>
      <c r="C707" s="63"/>
      <c r="D707" s="63"/>
      <c r="E707" s="63"/>
      <c r="F707" s="63"/>
    </row>
    <row r="708" spans="1:6" x14ac:dyDescent="0.3">
      <c r="A708" s="71"/>
      <c r="B708" s="63"/>
      <c r="C708" s="63"/>
      <c r="D708" s="63"/>
      <c r="E708" s="63"/>
      <c r="F708" s="63"/>
    </row>
    <row r="709" spans="1:6" x14ac:dyDescent="0.3">
      <c r="A709" s="71"/>
      <c r="B709" s="63"/>
      <c r="C709" s="63"/>
      <c r="D709" s="63"/>
      <c r="E709" s="63"/>
      <c r="F709" s="63"/>
    </row>
    <row r="710" spans="1:6" x14ac:dyDescent="0.3">
      <c r="A710" s="71"/>
      <c r="B710" s="63"/>
      <c r="C710" s="63"/>
      <c r="D710" s="63"/>
      <c r="E710" s="63"/>
      <c r="F710" s="63"/>
    </row>
    <row r="711" spans="1:6" x14ac:dyDescent="0.3">
      <c r="A711" s="71"/>
      <c r="B711" s="63"/>
      <c r="C711" s="63"/>
      <c r="D711" s="63"/>
      <c r="E711" s="63"/>
      <c r="F711" s="63"/>
    </row>
    <row r="712" spans="1:6" x14ac:dyDescent="0.3">
      <c r="A712" s="71"/>
      <c r="B712" s="63"/>
      <c r="C712" s="63"/>
      <c r="D712" s="63"/>
      <c r="E712" s="63"/>
      <c r="F712" s="63"/>
    </row>
    <row r="713" spans="1:6" x14ac:dyDescent="0.3">
      <c r="A713" s="71"/>
      <c r="B713" s="63"/>
      <c r="C713" s="63"/>
      <c r="D713" s="63"/>
      <c r="E713" s="63"/>
      <c r="F713" s="63"/>
    </row>
    <row r="714" spans="1:6" x14ac:dyDescent="0.3">
      <c r="A714" s="71"/>
      <c r="B714" s="63"/>
      <c r="C714" s="63"/>
      <c r="D714" s="63"/>
      <c r="E714" s="63"/>
      <c r="F714" s="63"/>
    </row>
    <row r="715" spans="1:6" x14ac:dyDescent="0.3">
      <c r="A715" s="71"/>
      <c r="B715" s="63"/>
      <c r="C715" s="63"/>
      <c r="D715" s="63"/>
      <c r="E715" s="63"/>
      <c r="F715" s="63"/>
    </row>
    <row r="716" spans="1:6" x14ac:dyDescent="0.3">
      <c r="A716" s="71"/>
      <c r="B716" s="63"/>
      <c r="C716" s="63"/>
      <c r="D716" s="63"/>
      <c r="E716" s="63"/>
      <c r="F716" s="63"/>
    </row>
    <row r="717" spans="1:6" x14ac:dyDescent="0.3">
      <c r="A717" s="71"/>
      <c r="B717" s="63"/>
      <c r="C717" s="63"/>
      <c r="D717" s="63"/>
      <c r="E717" s="63"/>
      <c r="F717" s="63"/>
    </row>
    <row r="718" spans="1:6" x14ac:dyDescent="0.3">
      <c r="A718" s="71"/>
      <c r="B718" s="63"/>
      <c r="C718" s="63"/>
      <c r="D718" s="63"/>
      <c r="E718" s="63"/>
      <c r="F718" s="63"/>
    </row>
    <row r="719" spans="1:6" x14ac:dyDescent="0.3">
      <c r="A719" s="71"/>
      <c r="B719" s="63"/>
      <c r="C719" s="63"/>
      <c r="D719" s="63"/>
      <c r="E719" s="63"/>
      <c r="F719" s="63"/>
    </row>
    <row r="720" spans="1:6" x14ac:dyDescent="0.3">
      <c r="A720" s="71"/>
      <c r="B720" s="63"/>
      <c r="C720" s="63"/>
      <c r="D720" s="63"/>
      <c r="E720" s="63"/>
      <c r="F720" s="63"/>
    </row>
    <row r="721" spans="1:6" x14ac:dyDescent="0.3">
      <c r="A721" s="71"/>
      <c r="B721" s="63"/>
      <c r="C721" s="63"/>
      <c r="D721" s="63"/>
      <c r="E721" s="63"/>
      <c r="F721" s="63"/>
    </row>
    <row r="722" spans="1:6" x14ac:dyDescent="0.3">
      <c r="A722" s="71"/>
      <c r="B722" s="63"/>
      <c r="C722" s="63"/>
      <c r="D722" s="63"/>
      <c r="E722" s="63"/>
      <c r="F722" s="63"/>
    </row>
    <row r="723" spans="1:6" x14ac:dyDescent="0.3">
      <c r="A723" s="71"/>
      <c r="B723" s="63"/>
      <c r="C723" s="63"/>
      <c r="D723" s="63"/>
      <c r="E723" s="63"/>
      <c r="F723" s="63"/>
    </row>
    <row r="724" spans="1:6" x14ac:dyDescent="0.3">
      <c r="A724" s="71"/>
      <c r="B724" s="63"/>
      <c r="C724" s="63"/>
      <c r="D724" s="63"/>
      <c r="E724" s="63"/>
      <c r="F724" s="63"/>
    </row>
    <row r="725" spans="1:6" x14ac:dyDescent="0.3">
      <c r="A725" s="71"/>
      <c r="B725" s="63"/>
      <c r="C725" s="63"/>
      <c r="D725" s="63"/>
      <c r="E725" s="63"/>
      <c r="F725" s="63"/>
    </row>
    <row r="726" spans="1:6" x14ac:dyDescent="0.3">
      <c r="A726" s="71"/>
      <c r="B726" s="63"/>
      <c r="C726" s="63"/>
      <c r="D726" s="63"/>
      <c r="E726" s="63"/>
      <c r="F726" s="63"/>
    </row>
    <row r="727" spans="1:6" x14ac:dyDescent="0.3">
      <c r="A727" s="71"/>
      <c r="B727" s="63"/>
      <c r="C727" s="63"/>
      <c r="D727" s="63"/>
      <c r="E727" s="63"/>
      <c r="F727" s="63"/>
    </row>
    <row r="728" spans="1:6" x14ac:dyDescent="0.3">
      <c r="A728" s="71"/>
      <c r="B728" s="63"/>
      <c r="C728" s="63"/>
      <c r="D728" s="63"/>
      <c r="E728" s="63"/>
      <c r="F728" s="63"/>
    </row>
    <row r="729" spans="1:6" x14ac:dyDescent="0.3">
      <c r="A729" s="71"/>
      <c r="B729" s="63"/>
      <c r="C729" s="63"/>
      <c r="D729" s="63"/>
      <c r="E729" s="63"/>
      <c r="F729" s="63"/>
    </row>
    <row r="730" spans="1:6" x14ac:dyDescent="0.3">
      <c r="A730" s="71"/>
      <c r="B730" s="63"/>
      <c r="C730" s="63"/>
      <c r="D730" s="63"/>
      <c r="E730" s="63"/>
      <c r="F730" s="63"/>
    </row>
    <row r="731" spans="1:6" x14ac:dyDescent="0.3">
      <c r="A731" s="71"/>
      <c r="B731" s="63"/>
      <c r="C731" s="63"/>
      <c r="D731" s="63"/>
      <c r="E731" s="63"/>
      <c r="F731" s="63"/>
    </row>
    <row r="732" spans="1:6" x14ac:dyDescent="0.3">
      <c r="A732" s="71"/>
      <c r="B732" s="63"/>
      <c r="C732" s="63"/>
      <c r="D732" s="63"/>
      <c r="E732" s="63"/>
      <c r="F732" s="63"/>
    </row>
    <row r="733" spans="1:6" x14ac:dyDescent="0.3">
      <c r="A733" s="71"/>
      <c r="B733" s="63"/>
      <c r="C733" s="63"/>
      <c r="D733" s="63"/>
      <c r="E733" s="63"/>
      <c r="F733" s="63"/>
    </row>
    <row r="734" spans="1:6" x14ac:dyDescent="0.3">
      <c r="A734" s="71"/>
      <c r="B734" s="63"/>
      <c r="C734" s="63"/>
      <c r="D734" s="63"/>
      <c r="E734" s="63"/>
      <c r="F734" s="63"/>
    </row>
    <row r="735" spans="1:6" x14ac:dyDescent="0.3">
      <c r="A735" s="71"/>
      <c r="B735" s="63"/>
      <c r="C735" s="63"/>
      <c r="D735" s="63"/>
      <c r="E735" s="63"/>
      <c r="F735" s="63"/>
    </row>
    <row r="736" spans="1:6" x14ac:dyDescent="0.3">
      <c r="A736" s="71"/>
      <c r="B736" s="63"/>
      <c r="C736" s="63"/>
      <c r="D736" s="63"/>
      <c r="E736" s="63"/>
      <c r="F736" s="63"/>
    </row>
    <row r="737" spans="1:6" x14ac:dyDescent="0.3">
      <c r="A737" s="71"/>
      <c r="B737" s="63"/>
      <c r="C737" s="63"/>
      <c r="D737" s="63"/>
      <c r="E737" s="63"/>
      <c r="F737" s="63"/>
    </row>
    <row r="738" spans="1:6" x14ac:dyDescent="0.3">
      <c r="A738" s="71"/>
      <c r="B738" s="63"/>
      <c r="C738" s="63"/>
      <c r="D738" s="63"/>
      <c r="E738" s="63"/>
      <c r="F738" s="63"/>
    </row>
    <row r="739" spans="1:6" x14ac:dyDescent="0.3">
      <c r="A739" s="71"/>
      <c r="B739" s="63"/>
      <c r="C739" s="63"/>
      <c r="D739" s="63"/>
      <c r="E739" s="63"/>
      <c r="F739" s="63"/>
    </row>
    <row r="740" spans="1:6" x14ac:dyDescent="0.3">
      <c r="A740" s="71"/>
      <c r="B740" s="63"/>
      <c r="C740" s="63"/>
      <c r="D740" s="63"/>
      <c r="E740" s="63"/>
      <c r="F740" s="63"/>
    </row>
    <row r="741" spans="1:6" x14ac:dyDescent="0.3">
      <c r="A741" s="71"/>
      <c r="B741" s="63"/>
      <c r="C741" s="63"/>
      <c r="D741" s="63"/>
      <c r="E741" s="63"/>
      <c r="F741" s="63"/>
    </row>
    <row r="742" spans="1:6" x14ac:dyDescent="0.3">
      <c r="A742" s="71"/>
      <c r="B742" s="63"/>
      <c r="C742" s="63"/>
      <c r="D742" s="63"/>
      <c r="E742" s="63"/>
      <c r="F742" s="63"/>
    </row>
    <row r="743" spans="1:6" x14ac:dyDescent="0.3">
      <c r="A743" s="71"/>
      <c r="B743" s="63"/>
      <c r="C743" s="63"/>
      <c r="D743" s="63"/>
      <c r="E743" s="63"/>
      <c r="F743" s="63"/>
    </row>
    <row r="744" spans="1:6" x14ac:dyDescent="0.3">
      <c r="A744" s="71"/>
      <c r="B744" s="63"/>
      <c r="C744" s="63"/>
      <c r="D744" s="63"/>
      <c r="E744" s="63"/>
      <c r="F744" s="63"/>
    </row>
    <row r="745" spans="1:6" x14ac:dyDescent="0.3">
      <c r="A745" s="71"/>
      <c r="B745" s="63"/>
      <c r="C745" s="63"/>
      <c r="D745" s="63"/>
      <c r="E745" s="63"/>
      <c r="F745" s="63"/>
    </row>
    <row r="746" spans="1:6" x14ac:dyDescent="0.3">
      <c r="A746" s="71"/>
      <c r="B746" s="63"/>
      <c r="C746" s="63"/>
      <c r="D746" s="63"/>
      <c r="E746" s="63"/>
      <c r="F746" s="63"/>
    </row>
    <row r="747" spans="1:6" x14ac:dyDescent="0.3">
      <c r="A747" s="71"/>
      <c r="B747" s="63"/>
      <c r="C747" s="63"/>
      <c r="D747" s="63"/>
      <c r="E747" s="63"/>
      <c r="F747" s="63"/>
    </row>
    <row r="748" spans="1:6" x14ac:dyDescent="0.3">
      <c r="A748" s="71"/>
      <c r="B748" s="63"/>
      <c r="C748" s="63"/>
      <c r="D748" s="63"/>
      <c r="E748" s="63"/>
      <c r="F748" s="63"/>
    </row>
    <row r="749" spans="1:6" x14ac:dyDescent="0.3">
      <c r="A749" s="71"/>
      <c r="B749" s="63"/>
      <c r="C749" s="63"/>
      <c r="D749" s="63"/>
      <c r="E749" s="63"/>
      <c r="F749" s="63"/>
    </row>
    <row r="750" spans="1:6" x14ac:dyDescent="0.3">
      <c r="A750" s="71"/>
      <c r="B750" s="63"/>
      <c r="C750" s="63"/>
      <c r="D750" s="63"/>
      <c r="E750" s="63"/>
      <c r="F750" s="63"/>
    </row>
    <row r="751" spans="1:6" x14ac:dyDescent="0.3">
      <c r="A751" s="71"/>
      <c r="B751" s="63"/>
      <c r="C751" s="63"/>
      <c r="D751" s="63"/>
      <c r="E751" s="63"/>
      <c r="F751" s="63"/>
    </row>
    <row r="752" spans="1:6" x14ac:dyDescent="0.3">
      <c r="A752" s="71"/>
      <c r="B752" s="63"/>
      <c r="C752" s="63"/>
      <c r="D752" s="63"/>
      <c r="E752" s="63"/>
      <c r="F752" s="63"/>
    </row>
    <row r="753" spans="1:6" x14ac:dyDescent="0.3">
      <c r="A753" s="71"/>
      <c r="B753" s="63"/>
      <c r="C753" s="63"/>
      <c r="D753" s="63"/>
      <c r="E753" s="63"/>
      <c r="F753" s="63"/>
    </row>
    <row r="754" spans="1:6" x14ac:dyDescent="0.3">
      <c r="A754" s="71"/>
      <c r="B754" s="63"/>
      <c r="C754" s="63"/>
      <c r="D754" s="63"/>
      <c r="E754" s="63"/>
      <c r="F754" s="63"/>
    </row>
    <row r="755" spans="1:6" x14ac:dyDescent="0.3">
      <c r="A755" s="71"/>
      <c r="B755" s="63"/>
      <c r="C755" s="63"/>
      <c r="D755" s="63"/>
      <c r="E755" s="63"/>
      <c r="F755" s="63"/>
    </row>
    <row r="756" spans="1:6" x14ac:dyDescent="0.3">
      <c r="A756" s="71"/>
      <c r="B756" s="63"/>
      <c r="C756" s="63"/>
      <c r="D756" s="63"/>
      <c r="E756" s="63"/>
      <c r="F756" s="63"/>
    </row>
    <row r="757" spans="1:6" x14ac:dyDescent="0.3">
      <c r="A757" s="71"/>
      <c r="B757" s="63"/>
      <c r="C757" s="63"/>
      <c r="D757" s="63"/>
      <c r="E757" s="63"/>
      <c r="F757" s="63"/>
    </row>
    <row r="758" spans="1:6" x14ac:dyDescent="0.3">
      <c r="A758" s="71"/>
      <c r="B758" s="63"/>
      <c r="C758" s="63"/>
      <c r="D758" s="63"/>
      <c r="E758" s="63"/>
      <c r="F758" s="63"/>
    </row>
    <row r="759" spans="1:6" x14ac:dyDescent="0.3">
      <c r="A759" s="71"/>
      <c r="B759" s="63"/>
      <c r="C759" s="63"/>
      <c r="D759" s="63"/>
      <c r="E759" s="63"/>
      <c r="F759" s="63"/>
    </row>
    <row r="760" spans="1:6" x14ac:dyDescent="0.3">
      <c r="A760" s="71"/>
      <c r="B760" s="63"/>
      <c r="C760" s="63"/>
      <c r="D760" s="63"/>
      <c r="E760" s="63"/>
      <c r="F760" s="63"/>
    </row>
    <row r="761" spans="1:6" x14ac:dyDescent="0.3">
      <c r="A761" s="71"/>
      <c r="B761" s="63"/>
      <c r="C761" s="63"/>
      <c r="D761" s="63"/>
      <c r="E761" s="63"/>
      <c r="F761" s="63"/>
    </row>
    <row r="762" spans="1:6" x14ac:dyDescent="0.3">
      <c r="A762" s="71"/>
      <c r="B762" s="63"/>
      <c r="C762" s="63"/>
      <c r="D762" s="63"/>
      <c r="E762" s="63"/>
      <c r="F762" s="63"/>
    </row>
    <row r="763" spans="1:6" x14ac:dyDescent="0.3">
      <c r="A763" s="71"/>
      <c r="B763" s="63"/>
      <c r="C763" s="63"/>
      <c r="D763" s="63"/>
      <c r="E763" s="63"/>
      <c r="F763" s="63"/>
    </row>
    <row r="764" spans="1:6" x14ac:dyDescent="0.3">
      <c r="A764" s="71"/>
      <c r="B764" s="63"/>
      <c r="C764" s="63"/>
      <c r="D764" s="63"/>
      <c r="E764" s="63"/>
      <c r="F764" s="63"/>
    </row>
    <row r="765" spans="1:6" x14ac:dyDescent="0.3">
      <c r="A765" s="71"/>
      <c r="B765" s="63"/>
      <c r="C765" s="63"/>
      <c r="D765" s="63"/>
      <c r="E765" s="63"/>
      <c r="F765" s="63"/>
    </row>
    <row r="766" spans="1:6" x14ac:dyDescent="0.3">
      <c r="A766" s="71"/>
      <c r="B766" s="63"/>
      <c r="C766" s="63"/>
      <c r="D766" s="63"/>
      <c r="E766" s="63"/>
      <c r="F766" s="63"/>
    </row>
    <row r="767" spans="1:6" x14ac:dyDescent="0.3">
      <c r="A767" s="71"/>
      <c r="B767" s="63"/>
      <c r="C767" s="63"/>
      <c r="D767" s="63"/>
      <c r="E767" s="63"/>
      <c r="F767" s="63"/>
    </row>
    <row r="768" spans="1:6" x14ac:dyDescent="0.3">
      <c r="A768" s="71"/>
      <c r="B768" s="63"/>
      <c r="C768" s="63"/>
      <c r="D768" s="63"/>
      <c r="E768" s="63"/>
      <c r="F768" s="63"/>
    </row>
    <row r="769" spans="1:6" x14ac:dyDescent="0.3">
      <c r="A769" s="71"/>
      <c r="B769" s="63"/>
      <c r="C769" s="63"/>
      <c r="D769" s="63"/>
      <c r="E769" s="63"/>
      <c r="F769" s="63"/>
    </row>
    <row r="770" spans="1:6" x14ac:dyDescent="0.3">
      <c r="A770" s="71"/>
      <c r="B770" s="63"/>
      <c r="C770" s="63"/>
      <c r="D770" s="63"/>
      <c r="E770" s="63"/>
      <c r="F770" s="63"/>
    </row>
    <row r="771" spans="1:6" x14ac:dyDescent="0.3">
      <c r="A771" s="71"/>
      <c r="B771" s="63"/>
      <c r="C771" s="63"/>
      <c r="D771" s="63"/>
      <c r="E771" s="63"/>
      <c r="F771" s="63"/>
    </row>
    <row r="772" spans="1:6" x14ac:dyDescent="0.3">
      <c r="A772" s="71"/>
      <c r="B772" s="63"/>
      <c r="C772" s="63"/>
      <c r="D772" s="63"/>
      <c r="E772" s="63"/>
      <c r="F772" s="63"/>
    </row>
    <row r="773" spans="1:6" x14ac:dyDescent="0.3">
      <c r="A773" s="71"/>
      <c r="B773" s="63"/>
      <c r="C773" s="63"/>
      <c r="D773" s="63"/>
      <c r="E773" s="63"/>
      <c r="F773" s="63"/>
    </row>
    <row r="774" spans="1:6" x14ac:dyDescent="0.3">
      <c r="A774" s="71"/>
      <c r="B774" s="63"/>
      <c r="C774" s="63"/>
      <c r="D774" s="63"/>
      <c r="E774" s="63"/>
      <c r="F774" s="63"/>
    </row>
    <row r="775" spans="1:6" x14ac:dyDescent="0.3">
      <c r="A775" s="71"/>
      <c r="B775" s="63"/>
      <c r="C775" s="63"/>
      <c r="D775" s="63"/>
      <c r="E775" s="63"/>
      <c r="F775" s="63"/>
    </row>
    <row r="776" spans="1:6" x14ac:dyDescent="0.3">
      <c r="A776" s="71"/>
      <c r="B776" s="63"/>
      <c r="C776" s="63"/>
      <c r="D776" s="63"/>
      <c r="E776" s="63"/>
      <c r="F776" s="63"/>
    </row>
    <row r="777" spans="1:6" x14ac:dyDescent="0.3">
      <c r="A777" s="71"/>
      <c r="B777" s="63"/>
      <c r="C777" s="63"/>
      <c r="D777" s="63"/>
      <c r="E777" s="63"/>
      <c r="F777" s="63"/>
    </row>
    <row r="778" spans="1:6" x14ac:dyDescent="0.3">
      <c r="A778" s="71"/>
      <c r="B778" s="63"/>
      <c r="C778" s="63"/>
      <c r="D778" s="63"/>
      <c r="E778" s="63"/>
      <c r="F778" s="63"/>
    </row>
    <row r="779" spans="1:6" x14ac:dyDescent="0.3">
      <c r="A779" s="71"/>
      <c r="B779" s="63"/>
      <c r="C779" s="63"/>
      <c r="D779" s="63"/>
      <c r="E779" s="63"/>
      <c r="F779" s="63"/>
    </row>
    <row r="780" spans="1:6" x14ac:dyDescent="0.3">
      <c r="A780" s="71"/>
      <c r="B780" s="63"/>
      <c r="C780" s="63"/>
      <c r="D780" s="63"/>
      <c r="E780" s="63"/>
      <c r="F780" s="63"/>
    </row>
    <row r="781" spans="1:6" x14ac:dyDescent="0.3">
      <c r="A781" s="71"/>
      <c r="B781" s="63"/>
      <c r="C781" s="63"/>
      <c r="D781" s="63"/>
      <c r="E781" s="63"/>
      <c r="F781" s="63"/>
    </row>
    <row r="782" spans="1:6" x14ac:dyDescent="0.3">
      <c r="A782" s="71"/>
      <c r="B782" s="63"/>
      <c r="C782" s="63"/>
      <c r="D782" s="63"/>
      <c r="E782" s="63"/>
      <c r="F782" s="63"/>
    </row>
    <row r="783" spans="1:6" x14ac:dyDescent="0.3">
      <c r="A783" s="71"/>
      <c r="B783" s="63"/>
      <c r="C783" s="63"/>
      <c r="D783" s="63"/>
      <c r="E783" s="63"/>
      <c r="F783" s="63"/>
    </row>
    <row r="784" spans="1:6" x14ac:dyDescent="0.3">
      <c r="A784" s="71"/>
      <c r="B784" s="63"/>
      <c r="C784" s="63"/>
      <c r="D784" s="63"/>
      <c r="E784" s="63"/>
      <c r="F784" s="63"/>
    </row>
    <row r="785" spans="1:6" x14ac:dyDescent="0.3">
      <c r="A785" s="71"/>
      <c r="B785" s="63"/>
      <c r="C785" s="63"/>
      <c r="D785" s="63"/>
      <c r="E785" s="63"/>
      <c r="F785" s="63"/>
    </row>
    <row r="786" spans="1:6" x14ac:dyDescent="0.3">
      <c r="A786" s="71"/>
      <c r="B786" s="63"/>
      <c r="C786" s="63"/>
      <c r="D786" s="63"/>
      <c r="E786" s="63"/>
      <c r="F786" s="63"/>
    </row>
    <row r="787" spans="1:6" x14ac:dyDescent="0.3">
      <c r="A787" s="71"/>
      <c r="B787" s="63"/>
      <c r="C787" s="63"/>
      <c r="D787" s="63"/>
      <c r="E787" s="63"/>
      <c r="F787" s="63"/>
    </row>
    <row r="788" spans="1:6" x14ac:dyDescent="0.3">
      <c r="A788" s="71"/>
      <c r="B788" s="63"/>
      <c r="C788" s="63"/>
      <c r="D788" s="63"/>
      <c r="E788" s="63"/>
      <c r="F788" s="63"/>
    </row>
    <row r="789" spans="1:6" x14ac:dyDescent="0.3">
      <c r="A789" s="71"/>
      <c r="B789" s="63"/>
      <c r="C789" s="63"/>
      <c r="D789" s="63"/>
      <c r="E789" s="63"/>
      <c r="F789" s="63"/>
    </row>
    <row r="790" spans="1:6" x14ac:dyDescent="0.3">
      <c r="A790" s="71"/>
      <c r="B790" s="63"/>
      <c r="C790" s="63"/>
      <c r="D790" s="63"/>
      <c r="E790" s="63"/>
      <c r="F790" s="63"/>
    </row>
    <row r="791" spans="1:6" x14ac:dyDescent="0.3">
      <c r="A791" s="71"/>
      <c r="B791" s="63"/>
      <c r="C791" s="63"/>
      <c r="D791" s="63"/>
      <c r="E791" s="63"/>
      <c r="F791" s="63"/>
    </row>
    <row r="792" spans="1:6" x14ac:dyDescent="0.3">
      <c r="A792" s="71"/>
      <c r="B792" s="63"/>
      <c r="C792" s="63"/>
      <c r="D792" s="63"/>
      <c r="E792" s="63"/>
      <c r="F792" s="63"/>
    </row>
    <row r="793" spans="1:6" x14ac:dyDescent="0.3">
      <c r="A793" s="71"/>
      <c r="B793" s="63"/>
      <c r="C793" s="63"/>
      <c r="D793" s="63"/>
      <c r="E793" s="63"/>
      <c r="F793" s="63"/>
    </row>
    <row r="794" spans="1:6" x14ac:dyDescent="0.3">
      <c r="A794" s="71"/>
      <c r="B794" s="63"/>
      <c r="C794" s="63"/>
      <c r="D794" s="63"/>
      <c r="E794" s="63"/>
      <c r="F794" s="63"/>
    </row>
    <row r="795" spans="1:6" x14ac:dyDescent="0.3">
      <c r="A795" s="71"/>
      <c r="B795" s="63"/>
      <c r="C795" s="63"/>
      <c r="D795" s="63"/>
      <c r="E795" s="63"/>
      <c r="F795" s="63"/>
    </row>
    <row r="796" spans="1:6" x14ac:dyDescent="0.3">
      <c r="A796" s="71"/>
      <c r="B796" s="63"/>
      <c r="C796" s="63"/>
      <c r="D796" s="63"/>
      <c r="E796" s="63"/>
      <c r="F796" s="63"/>
    </row>
    <row r="797" spans="1:6" x14ac:dyDescent="0.3">
      <c r="A797" s="71"/>
      <c r="B797" s="63"/>
      <c r="C797" s="63"/>
      <c r="D797" s="63"/>
      <c r="E797" s="63"/>
      <c r="F797" s="63"/>
    </row>
    <row r="798" spans="1:6" x14ac:dyDescent="0.3">
      <c r="A798" s="71"/>
      <c r="B798" s="63"/>
      <c r="C798" s="63"/>
      <c r="D798" s="63"/>
      <c r="E798" s="63"/>
      <c r="F798" s="63"/>
    </row>
    <row r="799" spans="1:6" x14ac:dyDescent="0.3">
      <c r="A799" s="71"/>
      <c r="B799" s="63"/>
      <c r="C799" s="63"/>
      <c r="D799" s="63"/>
      <c r="E799" s="63"/>
      <c r="F799" s="63"/>
    </row>
    <row r="800" spans="1:6" x14ac:dyDescent="0.3">
      <c r="A800" s="71"/>
      <c r="B800" s="63"/>
      <c r="C800" s="63"/>
      <c r="D800" s="63"/>
      <c r="E800" s="63"/>
      <c r="F800" s="63"/>
    </row>
    <row r="801" spans="1:6" x14ac:dyDescent="0.3">
      <c r="A801" s="71"/>
      <c r="B801" s="63"/>
      <c r="C801" s="63"/>
      <c r="D801" s="63"/>
      <c r="E801" s="63"/>
      <c r="F801" s="63"/>
    </row>
    <row r="802" spans="1:6" x14ac:dyDescent="0.3">
      <c r="A802" s="71"/>
      <c r="B802" s="63"/>
      <c r="C802" s="63"/>
      <c r="D802" s="63"/>
      <c r="E802" s="63"/>
      <c r="F802" s="63"/>
    </row>
    <row r="803" spans="1:6" x14ac:dyDescent="0.3">
      <c r="A803" s="71"/>
      <c r="B803" s="63"/>
      <c r="C803" s="63"/>
      <c r="D803" s="63"/>
      <c r="E803" s="63"/>
      <c r="F803" s="63"/>
    </row>
    <row r="804" spans="1:6" x14ac:dyDescent="0.3">
      <c r="A804" s="71"/>
      <c r="B804" s="63"/>
      <c r="C804" s="63"/>
      <c r="D804" s="63"/>
      <c r="E804" s="63"/>
      <c r="F804" s="63"/>
    </row>
    <row r="805" spans="1:6" x14ac:dyDescent="0.3">
      <c r="A805" s="71"/>
      <c r="B805" s="63"/>
      <c r="C805" s="63"/>
      <c r="D805" s="63"/>
      <c r="E805" s="63"/>
      <c r="F805" s="63"/>
    </row>
    <row r="806" spans="1:6" x14ac:dyDescent="0.3">
      <c r="A806" s="71"/>
      <c r="B806" s="63"/>
      <c r="C806" s="63"/>
      <c r="D806" s="63"/>
      <c r="E806" s="63"/>
      <c r="F806" s="63"/>
    </row>
    <row r="807" spans="1:6" x14ac:dyDescent="0.3">
      <c r="A807" s="71"/>
      <c r="B807" s="63"/>
      <c r="C807" s="63"/>
      <c r="D807" s="63"/>
      <c r="E807" s="63"/>
      <c r="F807" s="63"/>
    </row>
    <row r="808" spans="1:6" x14ac:dyDescent="0.3">
      <c r="A808" s="71"/>
      <c r="B808" s="63"/>
      <c r="C808" s="63"/>
      <c r="D808" s="63"/>
      <c r="E808" s="63"/>
      <c r="F808" s="63"/>
    </row>
    <row r="809" spans="1:6" x14ac:dyDescent="0.3">
      <c r="A809" s="71"/>
      <c r="B809" s="63"/>
      <c r="C809" s="63"/>
      <c r="D809" s="63"/>
      <c r="E809" s="63"/>
      <c r="F809" s="63"/>
    </row>
    <row r="810" spans="1:6" x14ac:dyDescent="0.3">
      <c r="A810" s="71"/>
      <c r="B810" s="63"/>
      <c r="C810" s="63"/>
      <c r="D810" s="63"/>
      <c r="E810" s="63"/>
      <c r="F810" s="63"/>
    </row>
    <row r="811" spans="1:6" x14ac:dyDescent="0.3">
      <c r="A811" s="71"/>
      <c r="B811" s="63"/>
      <c r="C811" s="63"/>
      <c r="D811" s="63"/>
      <c r="E811" s="63"/>
      <c r="F811" s="63"/>
    </row>
    <row r="812" spans="1:6" x14ac:dyDescent="0.3">
      <c r="A812" s="71"/>
      <c r="B812" s="63"/>
      <c r="C812" s="63"/>
      <c r="D812" s="63"/>
      <c r="E812" s="63"/>
      <c r="F812" s="63"/>
    </row>
    <row r="813" spans="1:6" x14ac:dyDescent="0.3">
      <c r="A813" s="71"/>
      <c r="B813" s="63"/>
      <c r="C813" s="63"/>
      <c r="D813" s="63"/>
      <c r="E813" s="63"/>
      <c r="F813" s="63"/>
    </row>
    <row r="814" spans="1:6" x14ac:dyDescent="0.3">
      <c r="A814" s="71"/>
      <c r="B814" s="63"/>
      <c r="C814" s="63"/>
      <c r="D814" s="63"/>
      <c r="E814" s="63"/>
      <c r="F814" s="63"/>
    </row>
    <row r="815" spans="1:6" x14ac:dyDescent="0.3">
      <c r="A815" s="71"/>
      <c r="B815" s="63"/>
      <c r="C815" s="63"/>
      <c r="D815" s="63"/>
      <c r="E815" s="63"/>
      <c r="F815" s="63"/>
    </row>
    <row r="816" spans="1:6" x14ac:dyDescent="0.3">
      <c r="A816" s="71"/>
      <c r="B816" s="63"/>
      <c r="C816" s="63"/>
      <c r="D816" s="63"/>
      <c r="E816" s="63"/>
      <c r="F816" s="63"/>
    </row>
    <row r="817" spans="1:6" x14ac:dyDescent="0.3">
      <c r="A817" s="71"/>
      <c r="B817" s="63"/>
      <c r="C817" s="63"/>
      <c r="D817" s="63"/>
      <c r="E817" s="63"/>
      <c r="F817" s="63"/>
    </row>
    <row r="818" spans="1:6" x14ac:dyDescent="0.3">
      <c r="A818" s="71"/>
      <c r="B818" s="63"/>
      <c r="C818" s="63"/>
      <c r="D818" s="63"/>
      <c r="E818" s="63"/>
      <c r="F818" s="63"/>
    </row>
    <row r="819" spans="1:6" x14ac:dyDescent="0.3">
      <c r="A819" s="71"/>
      <c r="B819" s="63"/>
      <c r="C819" s="63"/>
      <c r="D819" s="63"/>
      <c r="E819" s="63"/>
      <c r="F819" s="63"/>
    </row>
    <row r="820" spans="1:6" x14ac:dyDescent="0.3">
      <c r="A820" s="71"/>
      <c r="B820" s="63"/>
      <c r="C820" s="63"/>
      <c r="D820" s="63"/>
      <c r="E820" s="63"/>
      <c r="F820" s="63"/>
    </row>
    <row r="821" spans="1:6" x14ac:dyDescent="0.3">
      <c r="A821" s="71"/>
      <c r="B821" s="63"/>
      <c r="C821" s="63"/>
      <c r="D821" s="63"/>
      <c r="E821" s="63"/>
      <c r="F821" s="63"/>
    </row>
    <row r="822" spans="1:6" x14ac:dyDescent="0.3">
      <c r="A822" s="71"/>
      <c r="B822" s="63"/>
      <c r="C822" s="63"/>
      <c r="D822" s="63"/>
      <c r="E822" s="63"/>
      <c r="F822" s="63"/>
    </row>
    <row r="823" spans="1:6" x14ac:dyDescent="0.3">
      <c r="A823" s="71"/>
      <c r="B823" s="63"/>
      <c r="C823" s="63"/>
      <c r="D823" s="63"/>
      <c r="E823" s="63"/>
      <c r="F823" s="63"/>
    </row>
    <row r="824" spans="1:6" x14ac:dyDescent="0.3">
      <c r="A824" s="71"/>
      <c r="B824" s="63"/>
      <c r="C824" s="63"/>
      <c r="D824" s="63"/>
      <c r="E824" s="63"/>
      <c r="F824" s="63"/>
    </row>
    <row r="825" spans="1:6" x14ac:dyDescent="0.3">
      <c r="A825" s="71"/>
      <c r="B825" s="63"/>
      <c r="C825" s="63"/>
      <c r="D825" s="63"/>
      <c r="E825" s="63"/>
      <c r="F825" s="63"/>
    </row>
    <row r="826" spans="1:6" x14ac:dyDescent="0.3">
      <c r="A826" s="71"/>
      <c r="B826" s="63"/>
      <c r="C826" s="63"/>
      <c r="D826" s="63"/>
      <c r="E826" s="63"/>
      <c r="F826" s="63"/>
    </row>
    <row r="827" spans="1:6" x14ac:dyDescent="0.3">
      <c r="A827" s="71"/>
      <c r="B827" s="63"/>
      <c r="C827" s="63"/>
      <c r="D827" s="63"/>
      <c r="E827" s="63"/>
      <c r="F827" s="63"/>
    </row>
    <row r="828" spans="1:6" x14ac:dyDescent="0.3">
      <c r="A828" s="71"/>
      <c r="B828" s="63"/>
      <c r="C828" s="63"/>
      <c r="D828" s="63"/>
      <c r="E828" s="63"/>
      <c r="F828" s="63"/>
    </row>
    <row r="829" spans="1:6" x14ac:dyDescent="0.3">
      <c r="A829" s="71"/>
      <c r="B829" s="63"/>
      <c r="C829" s="63"/>
      <c r="D829" s="63"/>
      <c r="E829" s="63"/>
      <c r="F829" s="63"/>
    </row>
    <row r="830" spans="1:6" x14ac:dyDescent="0.3">
      <c r="A830" s="71"/>
      <c r="B830" s="63"/>
      <c r="C830" s="63"/>
      <c r="D830" s="63"/>
      <c r="E830" s="63"/>
      <c r="F830" s="63"/>
    </row>
    <row r="831" spans="1:6" x14ac:dyDescent="0.3">
      <c r="A831" s="71"/>
      <c r="B831" s="63"/>
      <c r="C831" s="63"/>
      <c r="D831" s="63"/>
      <c r="E831" s="63"/>
      <c r="F831" s="63"/>
    </row>
    <row r="832" spans="1:6" x14ac:dyDescent="0.3">
      <c r="A832" s="71"/>
      <c r="B832" s="63"/>
      <c r="C832" s="63"/>
      <c r="D832" s="63"/>
      <c r="E832" s="63"/>
      <c r="F832" s="63"/>
    </row>
    <row r="833" spans="1:6" x14ac:dyDescent="0.3">
      <c r="A833" s="71"/>
      <c r="B833" s="63"/>
      <c r="C833" s="63"/>
      <c r="D833" s="63"/>
      <c r="E833" s="63"/>
      <c r="F833" s="63"/>
    </row>
    <row r="834" spans="1:6" x14ac:dyDescent="0.3">
      <c r="A834" s="71"/>
      <c r="B834" s="63"/>
      <c r="C834" s="63"/>
      <c r="D834" s="63"/>
      <c r="E834" s="63"/>
      <c r="F834" s="63"/>
    </row>
    <row r="835" spans="1:6" x14ac:dyDescent="0.3">
      <c r="A835" s="71"/>
      <c r="B835" s="63"/>
      <c r="C835" s="63"/>
      <c r="D835" s="63"/>
      <c r="E835" s="63"/>
      <c r="F835" s="63"/>
    </row>
    <row r="836" spans="1:6" x14ac:dyDescent="0.3">
      <c r="A836" s="71"/>
      <c r="B836" s="63"/>
      <c r="C836" s="63"/>
      <c r="D836" s="63"/>
      <c r="E836" s="63"/>
      <c r="F836" s="63"/>
    </row>
    <row r="837" spans="1:6" x14ac:dyDescent="0.3">
      <c r="A837" s="71"/>
      <c r="B837" s="63"/>
      <c r="C837" s="63"/>
      <c r="D837" s="63"/>
      <c r="E837" s="63"/>
      <c r="F837" s="63"/>
    </row>
    <row r="838" spans="1:6" x14ac:dyDescent="0.3">
      <c r="A838" s="71"/>
      <c r="B838" s="63"/>
      <c r="C838" s="63"/>
      <c r="D838" s="63"/>
      <c r="E838" s="63"/>
      <c r="F838" s="63"/>
    </row>
    <row r="839" spans="1:6" x14ac:dyDescent="0.3">
      <c r="A839" s="71"/>
      <c r="B839" s="63"/>
      <c r="C839" s="63"/>
      <c r="D839" s="63"/>
      <c r="E839" s="63"/>
      <c r="F839" s="63"/>
    </row>
    <row r="840" spans="1:6" x14ac:dyDescent="0.3">
      <c r="A840" s="71"/>
      <c r="B840" s="63"/>
      <c r="C840" s="63"/>
      <c r="D840" s="63"/>
      <c r="E840" s="63"/>
      <c r="F840" s="63"/>
    </row>
    <row r="841" spans="1:6" x14ac:dyDescent="0.3">
      <c r="A841" s="71"/>
      <c r="B841" s="63"/>
      <c r="C841" s="63"/>
      <c r="D841" s="63"/>
      <c r="E841" s="63"/>
      <c r="F841" s="63"/>
    </row>
    <row r="842" spans="1:6" x14ac:dyDescent="0.3">
      <c r="A842" s="71"/>
      <c r="B842" s="63"/>
      <c r="C842" s="63"/>
      <c r="D842" s="63"/>
      <c r="E842" s="63"/>
      <c r="F842" s="63"/>
    </row>
    <row r="843" spans="1:6" x14ac:dyDescent="0.3">
      <c r="A843" s="71"/>
      <c r="B843" s="63"/>
      <c r="C843" s="63"/>
      <c r="D843" s="63"/>
      <c r="E843" s="63"/>
      <c r="F843" s="63"/>
    </row>
    <row r="844" spans="1:6" x14ac:dyDescent="0.3">
      <c r="A844" s="71"/>
      <c r="B844" s="63"/>
      <c r="C844" s="63"/>
      <c r="D844" s="63"/>
      <c r="E844" s="63"/>
      <c r="F844" s="63"/>
    </row>
    <row r="845" spans="1:6" x14ac:dyDescent="0.3">
      <c r="A845" s="71"/>
      <c r="B845" s="63"/>
      <c r="C845" s="63"/>
      <c r="D845" s="63"/>
      <c r="E845" s="63"/>
      <c r="F845" s="63"/>
    </row>
    <row r="846" spans="1:6" x14ac:dyDescent="0.3">
      <c r="A846" s="71"/>
      <c r="B846" s="63"/>
      <c r="C846" s="63"/>
      <c r="D846" s="63"/>
      <c r="E846" s="63"/>
      <c r="F846" s="63"/>
    </row>
    <row r="847" spans="1:6" x14ac:dyDescent="0.3">
      <c r="A847" s="71"/>
      <c r="B847" s="63"/>
      <c r="C847" s="63"/>
      <c r="D847" s="63"/>
      <c r="E847" s="63"/>
      <c r="F847" s="63"/>
    </row>
    <row r="848" spans="1:6" x14ac:dyDescent="0.3">
      <c r="A848" s="71"/>
      <c r="B848" s="63"/>
      <c r="C848" s="63"/>
      <c r="D848" s="63"/>
      <c r="E848" s="63"/>
      <c r="F848" s="63"/>
    </row>
    <row r="849" spans="1:6" x14ac:dyDescent="0.3">
      <c r="A849" s="71"/>
      <c r="B849" s="63"/>
      <c r="C849" s="63"/>
      <c r="D849" s="63"/>
      <c r="E849" s="63"/>
      <c r="F849" s="63"/>
    </row>
    <row r="850" spans="1:6" x14ac:dyDescent="0.3">
      <c r="A850" s="71"/>
      <c r="B850" s="63"/>
      <c r="C850" s="63"/>
      <c r="D850" s="63"/>
      <c r="E850" s="63"/>
      <c r="F850" s="63"/>
    </row>
    <row r="851" spans="1:6" x14ac:dyDescent="0.3">
      <c r="A851" s="71"/>
      <c r="B851" s="63"/>
      <c r="C851" s="63"/>
      <c r="D851" s="63"/>
      <c r="E851" s="63"/>
      <c r="F851" s="63"/>
    </row>
    <row r="852" spans="1:6" x14ac:dyDescent="0.3">
      <c r="A852" s="71"/>
      <c r="B852" s="63"/>
      <c r="C852" s="63"/>
      <c r="D852" s="63"/>
      <c r="E852" s="63"/>
      <c r="F852" s="63"/>
    </row>
    <row r="853" spans="1:6" x14ac:dyDescent="0.3">
      <c r="A853" s="71"/>
      <c r="B853" s="63"/>
      <c r="C853" s="63"/>
      <c r="D853" s="63"/>
      <c r="E853" s="63"/>
      <c r="F853" s="63"/>
    </row>
    <row r="854" spans="1:6" x14ac:dyDescent="0.3">
      <c r="A854" s="71"/>
      <c r="B854" s="63"/>
      <c r="C854" s="63"/>
      <c r="D854" s="63"/>
      <c r="E854" s="63"/>
      <c r="F854" s="63"/>
    </row>
    <row r="855" spans="1:6" x14ac:dyDescent="0.3">
      <c r="A855" s="71"/>
      <c r="B855" s="63"/>
      <c r="C855" s="63"/>
      <c r="D855" s="63"/>
      <c r="E855" s="63"/>
      <c r="F855" s="63"/>
    </row>
    <row r="856" spans="1:6" x14ac:dyDescent="0.3">
      <c r="A856" s="71"/>
      <c r="B856" s="63"/>
      <c r="C856" s="63"/>
      <c r="D856" s="63"/>
      <c r="E856" s="63"/>
      <c r="F856" s="63"/>
    </row>
    <row r="857" spans="1:6" x14ac:dyDescent="0.3">
      <c r="A857" s="71"/>
      <c r="B857" s="63"/>
      <c r="C857" s="63"/>
      <c r="D857" s="63"/>
      <c r="E857" s="63"/>
      <c r="F857" s="63"/>
    </row>
    <row r="858" spans="1:6" x14ac:dyDescent="0.3">
      <c r="A858" s="71"/>
      <c r="B858" s="63"/>
      <c r="C858" s="63"/>
      <c r="D858" s="63"/>
      <c r="E858" s="63"/>
      <c r="F858" s="63"/>
    </row>
    <row r="859" spans="1:6" x14ac:dyDescent="0.3">
      <c r="A859" s="71"/>
      <c r="B859" s="63"/>
      <c r="C859" s="63"/>
      <c r="D859" s="63"/>
      <c r="E859" s="63"/>
      <c r="F859" s="63"/>
    </row>
    <row r="860" spans="1:6" x14ac:dyDescent="0.3">
      <c r="A860" s="71"/>
      <c r="B860" s="63"/>
      <c r="C860" s="63"/>
      <c r="D860" s="63"/>
      <c r="E860" s="63"/>
      <c r="F860" s="63"/>
    </row>
    <row r="861" spans="1:6" x14ac:dyDescent="0.3">
      <c r="A861" s="71"/>
      <c r="B861" s="63"/>
      <c r="C861" s="63"/>
      <c r="D861" s="63"/>
      <c r="E861" s="63"/>
      <c r="F861" s="63"/>
    </row>
    <row r="862" spans="1:6" x14ac:dyDescent="0.3">
      <c r="A862" s="71"/>
      <c r="B862" s="63"/>
      <c r="C862" s="63"/>
      <c r="D862" s="63"/>
      <c r="E862" s="63"/>
      <c r="F862" s="63"/>
    </row>
    <row r="863" spans="1:6" x14ac:dyDescent="0.3">
      <c r="A863" s="71"/>
      <c r="B863" s="63"/>
      <c r="C863" s="63"/>
      <c r="D863" s="63"/>
      <c r="E863" s="63"/>
      <c r="F863" s="63"/>
    </row>
    <row r="864" spans="1:6" x14ac:dyDescent="0.3">
      <c r="A864" s="71"/>
      <c r="B864" s="63"/>
      <c r="C864" s="63"/>
      <c r="D864" s="63"/>
      <c r="E864" s="63"/>
      <c r="F864" s="63"/>
    </row>
    <row r="865" spans="1:6" x14ac:dyDescent="0.3">
      <c r="A865" s="71"/>
      <c r="B865" s="63"/>
      <c r="C865" s="63"/>
      <c r="D865" s="63"/>
      <c r="E865" s="63"/>
      <c r="F865" s="63"/>
    </row>
    <row r="866" spans="1:6" x14ac:dyDescent="0.3">
      <c r="A866" s="71"/>
      <c r="B866" s="63"/>
      <c r="C866" s="63"/>
      <c r="D866" s="63"/>
      <c r="E866" s="63"/>
      <c r="F866" s="63"/>
    </row>
    <row r="867" spans="1:6" x14ac:dyDescent="0.3">
      <c r="A867" s="71"/>
      <c r="B867" s="63"/>
      <c r="C867" s="63"/>
      <c r="D867" s="63"/>
      <c r="E867" s="63"/>
      <c r="F867" s="63"/>
    </row>
    <row r="868" spans="1:6" x14ac:dyDescent="0.3">
      <c r="A868" s="71"/>
      <c r="B868" s="63"/>
      <c r="C868" s="63"/>
      <c r="D868" s="63"/>
      <c r="E868" s="63"/>
      <c r="F868" s="63"/>
    </row>
    <row r="869" spans="1:6" x14ac:dyDescent="0.3">
      <c r="A869" s="71"/>
      <c r="B869" s="63"/>
      <c r="C869" s="63"/>
      <c r="D869" s="63"/>
      <c r="E869" s="63"/>
      <c r="F869" s="63"/>
    </row>
    <row r="870" spans="1:6" x14ac:dyDescent="0.3">
      <c r="A870" s="71"/>
      <c r="B870" s="63"/>
      <c r="C870" s="63"/>
      <c r="D870" s="63"/>
      <c r="E870" s="63"/>
      <c r="F870" s="63"/>
    </row>
    <row r="871" spans="1:6" x14ac:dyDescent="0.3">
      <c r="A871" s="71"/>
      <c r="B871" s="63"/>
      <c r="C871" s="63"/>
      <c r="D871" s="63"/>
      <c r="E871" s="63"/>
      <c r="F871" s="63"/>
    </row>
    <row r="872" spans="1:6" x14ac:dyDescent="0.3">
      <c r="A872" s="71"/>
      <c r="B872" s="63"/>
      <c r="C872" s="63"/>
      <c r="D872" s="63"/>
      <c r="E872" s="63"/>
      <c r="F872" s="63"/>
    </row>
    <row r="873" spans="1:6" x14ac:dyDescent="0.3">
      <c r="A873" s="71"/>
      <c r="B873" s="63"/>
      <c r="C873" s="63"/>
      <c r="D873" s="63"/>
      <c r="E873" s="63"/>
      <c r="F873" s="63"/>
    </row>
    <row r="874" spans="1:6" x14ac:dyDescent="0.3">
      <c r="A874" s="71"/>
      <c r="B874" s="63"/>
      <c r="C874" s="63"/>
      <c r="D874" s="63"/>
      <c r="E874" s="63"/>
      <c r="F874" s="63"/>
    </row>
    <row r="875" spans="1:6" x14ac:dyDescent="0.3">
      <c r="A875" s="71"/>
      <c r="B875" s="63"/>
      <c r="C875" s="63"/>
      <c r="D875" s="63"/>
      <c r="E875" s="63"/>
      <c r="F875" s="63"/>
    </row>
    <row r="876" spans="1:6" x14ac:dyDescent="0.3">
      <c r="A876" s="71"/>
      <c r="B876" s="63"/>
      <c r="C876" s="63"/>
      <c r="D876" s="63"/>
      <c r="E876" s="63"/>
      <c r="F876" s="63"/>
    </row>
    <row r="877" spans="1:6" x14ac:dyDescent="0.3">
      <c r="A877" s="71"/>
      <c r="B877" s="63"/>
      <c r="C877" s="63"/>
      <c r="D877" s="63"/>
      <c r="E877" s="63"/>
      <c r="F877" s="63"/>
    </row>
    <row r="878" spans="1:6" x14ac:dyDescent="0.3">
      <c r="A878" s="71"/>
      <c r="B878" s="63"/>
      <c r="C878" s="63"/>
      <c r="D878" s="63"/>
      <c r="E878" s="63"/>
      <c r="F878" s="63"/>
    </row>
    <row r="879" spans="1:6" x14ac:dyDescent="0.3">
      <c r="A879" s="71"/>
      <c r="B879" s="63"/>
      <c r="C879" s="63"/>
      <c r="D879" s="63"/>
      <c r="E879" s="63"/>
      <c r="F879" s="63"/>
    </row>
    <row r="880" spans="1:6" x14ac:dyDescent="0.3">
      <c r="A880" s="71"/>
      <c r="B880" s="63"/>
      <c r="C880" s="63"/>
      <c r="D880" s="63"/>
      <c r="E880" s="63"/>
      <c r="F880" s="63"/>
    </row>
    <row r="881" spans="1:6" x14ac:dyDescent="0.3">
      <c r="A881" s="71"/>
      <c r="B881" s="63"/>
      <c r="C881" s="63"/>
      <c r="D881" s="63"/>
      <c r="E881" s="63"/>
      <c r="F881" s="63"/>
    </row>
    <row r="882" spans="1:6" x14ac:dyDescent="0.3">
      <c r="A882" s="71"/>
      <c r="B882" s="63"/>
      <c r="C882" s="63"/>
      <c r="D882" s="63"/>
      <c r="E882" s="63"/>
      <c r="F882" s="63"/>
    </row>
    <row r="883" spans="1:6" x14ac:dyDescent="0.3">
      <c r="A883" s="71"/>
      <c r="B883" s="63"/>
      <c r="C883" s="63"/>
      <c r="D883" s="63"/>
      <c r="E883" s="63"/>
      <c r="F883" s="63"/>
    </row>
    <row r="884" spans="1:6" x14ac:dyDescent="0.3">
      <c r="A884" s="71"/>
      <c r="B884" s="63"/>
      <c r="C884" s="63"/>
      <c r="D884" s="63"/>
      <c r="E884" s="63"/>
      <c r="F884" s="63"/>
    </row>
    <row r="885" spans="1:6" x14ac:dyDescent="0.3">
      <c r="A885" s="71"/>
      <c r="B885" s="63"/>
      <c r="C885" s="63"/>
      <c r="D885" s="63"/>
      <c r="E885" s="63"/>
      <c r="F885" s="63"/>
    </row>
    <row r="886" spans="1:6" x14ac:dyDescent="0.3">
      <c r="A886" s="71"/>
      <c r="B886" s="63"/>
      <c r="C886" s="63"/>
      <c r="D886" s="63"/>
      <c r="E886" s="63"/>
      <c r="F886" s="63"/>
    </row>
    <row r="887" spans="1:6" x14ac:dyDescent="0.3">
      <c r="A887" s="71"/>
      <c r="B887" s="63"/>
      <c r="C887" s="63"/>
      <c r="D887" s="63"/>
      <c r="E887" s="63"/>
      <c r="F887" s="63"/>
    </row>
    <row r="888" spans="1:6" x14ac:dyDescent="0.3">
      <c r="A888" s="71"/>
      <c r="B888" s="63"/>
      <c r="C888" s="63"/>
      <c r="D888" s="63"/>
      <c r="E888" s="63"/>
      <c r="F888" s="63"/>
    </row>
    <row r="889" spans="1:6" x14ac:dyDescent="0.3">
      <c r="A889" s="71"/>
      <c r="B889" s="63"/>
      <c r="C889" s="63"/>
      <c r="D889" s="63"/>
      <c r="E889" s="63"/>
      <c r="F889" s="63"/>
    </row>
    <row r="890" spans="1:6" x14ac:dyDescent="0.3">
      <c r="A890" s="71"/>
      <c r="B890" s="63"/>
      <c r="C890" s="63"/>
      <c r="D890" s="63"/>
      <c r="E890" s="63"/>
      <c r="F890" s="63"/>
    </row>
    <row r="891" spans="1:6" x14ac:dyDescent="0.3">
      <c r="A891" s="71"/>
      <c r="B891" s="63"/>
      <c r="C891" s="63"/>
      <c r="D891" s="63"/>
      <c r="E891" s="63"/>
      <c r="F891" s="63"/>
    </row>
    <row r="892" spans="1:6" x14ac:dyDescent="0.3">
      <c r="A892" s="71"/>
      <c r="B892" s="63"/>
      <c r="C892" s="63"/>
      <c r="D892" s="63"/>
      <c r="E892" s="63"/>
      <c r="F892" s="63"/>
    </row>
    <row r="893" spans="1:6" x14ac:dyDescent="0.3">
      <c r="A893" s="71"/>
      <c r="B893" s="63"/>
      <c r="C893" s="63"/>
      <c r="D893" s="63"/>
      <c r="E893" s="63"/>
      <c r="F893" s="63"/>
    </row>
    <row r="894" spans="1:6" x14ac:dyDescent="0.3">
      <c r="A894" s="71"/>
      <c r="B894" s="63"/>
      <c r="C894" s="63"/>
      <c r="D894" s="63"/>
      <c r="E894" s="63"/>
      <c r="F894" s="63"/>
    </row>
    <row r="895" spans="1:6" x14ac:dyDescent="0.3">
      <c r="A895" s="71"/>
      <c r="B895" s="63"/>
      <c r="C895" s="63"/>
      <c r="D895" s="63"/>
      <c r="E895" s="63"/>
      <c r="F895" s="63"/>
    </row>
    <row r="896" spans="1:6" x14ac:dyDescent="0.3">
      <c r="A896" s="71"/>
      <c r="B896" s="63"/>
      <c r="C896" s="63"/>
      <c r="D896" s="63"/>
      <c r="E896" s="63"/>
      <c r="F896" s="63"/>
    </row>
    <row r="897" spans="1:6" x14ac:dyDescent="0.3">
      <c r="A897" s="71"/>
      <c r="B897" s="63"/>
      <c r="C897" s="63"/>
      <c r="D897" s="63"/>
      <c r="E897" s="63"/>
      <c r="F897" s="63"/>
    </row>
    <row r="898" spans="1:6" x14ac:dyDescent="0.3">
      <c r="A898" s="71"/>
      <c r="B898" s="63"/>
      <c r="C898" s="63"/>
      <c r="D898" s="63"/>
      <c r="E898" s="63"/>
      <c r="F898" s="63"/>
    </row>
    <row r="899" spans="1:6" x14ac:dyDescent="0.3">
      <c r="A899" s="71"/>
      <c r="B899" s="63"/>
      <c r="C899" s="63"/>
      <c r="D899" s="63"/>
      <c r="E899" s="63"/>
      <c r="F899" s="63"/>
    </row>
    <row r="900" spans="1:6" x14ac:dyDescent="0.3">
      <c r="A900" s="71"/>
      <c r="B900" s="63"/>
      <c r="C900" s="63"/>
      <c r="D900" s="63"/>
      <c r="E900" s="63"/>
      <c r="F900" s="63"/>
    </row>
    <row r="901" spans="1:6" x14ac:dyDescent="0.3">
      <c r="A901" s="71"/>
      <c r="B901" s="63"/>
      <c r="C901" s="63"/>
      <c r="D901" s="63"/>
      <c r="E901" s="63"/>
      <c r="F901" s="63"/>
    </row>
    <row r="902" spans="1:6" x14ac:dyDescent="0.3">
      <c r="A902" s="71"/>
      <c r="B902" s="63"/>
      <c r="C902" s="63"/>
      <c r="D902" s="63"/>
      <c r="E902" s="63"/>
      <c r="F902" s="63"/>
    </row>
    <row r="903" spans="1:6" x14ac:dyDescent="0.3">
      <c r="A903" s="71"/>
      <c r="B903" s="63"/>
      <c r="C903" s="63"/>
      <c r="D903" s="63"/>
      <c r="E903" s="63"/>
      <c r="F903" s="63"/>
    </row>
    <row r="904" spans="1:6" x14ac:dyDescent="0.3">
      <c r="A904" s="71"/>
      <c r="B904" s="63"/>
      <c r="C904" s="63"/>
      <c r="D904" s="63"/>
      <c r="E904" s="63"/>
      <c r="F904" s="63"/>
    </row>
    <row r="905" spans="1:6" x14ac:dyDescent="0.3">
      <c r="A905" s="71"/>
      <c r="B905" s="63"/>
      <c r="C905" s="63"/>
      <c r="D905" s="63"/>
      <c r="E905" s="63"/>
      <c r="F905" s="63"/>
    </row>
    <row r="906" spans="1:6" x14ac:dyDescent="0.3">
      <c r="A906" s="71"/>
      <c r="B906" s="63"/>
      <c r="C906" s="63"/>
      <c r="D906" s="63"/>
      <c r="E906" s="63"/>
      <c r="F906" s="63"/>
    </row>
    <row r="907" spans="1:6" x14ac:dyDescent="0.3">
      <c r="A907" s="71"/>
      <c r="B907" s="63"/>
      <c r="C907" s="63"/>
      <c r="D907" s="63"/>
      <c r="E907" s="63"/>
      <c r="F907" s="63"/>
    </row>
    <row r="908" spans="1:6" x14ac:dyDescent="0.3">
      <c r="A908" s="71"/>
      <c r="B908" s="63"/>
      <c r="C908" s="63"/>
      <c r="D908" s="63"/>
      <c r="E908" s="63"/>
      <c r="F908" s="63"/>
    </row>
    <row r="909" spans="1:6" x14ac:dyDescent="0.3">
      <c r="A909" s="71"/>
      <c r="B909" s="63"/>
      <c r="C909" s="63"/>
      <c r="D909" s="63"/>
      <c r="E909" s="63"/>
      <c r="F909" s="63"/>
    </row>
    <row r="910" spans="1:6" x14ac:dyDescent="0.3">
      <c r="A910" s="71"/>
      <c r="B910" s="63"/>
      <c r="C910" s="63"/>
      <c r="D910" s="63"/>
      <c r="E910" s="63"/>
      <c r="F910" s="63"/>
    </row>
    <row r="911" spans="1:6" x14ac:dyDescent="0.3">
      <c r="A911" s="71"/>
      <c r="B911" s="63"/>
      <c r="C911" s="63"/>
      <c r="D911" s="63"/>
      <c r="E911" s="63"/>
      <c r="F911" s="63"/>
    </row>
    <row r="912" spans="1:6" x14ac:dyDescent="0.3">
      <c r="A912" s="71"/>
      <c r="B912" s="63"/>
      <c r="C912" s="63"/>
      <c r="D912" s="63"/>
      <c r="E912" s="63"/>
      <c r="F912" s="63"/>
    </row>
    <row r="913" spans="1:6" x14ac:dyDescent="0.3">
      <c r="A913" s="71"/>
      <c r="B913" s="63"/>
      <c r="C913" s="63"/>
      <c r="D913" s="63"/>
      <c r="E913" s="63"/>
      <c r="F913" s="63"/>
    </row>
    <row r="914" spans="1:6" x14ac:dyDescent="0.3">
      <c r="A914" s="71"/>
      <c r="B914" s="63"/>
      <c r="C914" s="63"/>
      <c r="D914" s="63"/>
      <c r="E914" s="63"/>
      <c r="F914" s="63"/>
    </row>
    <row r="915" spans="1:6" x14ac:dyDescent="0.3">
      <c r="A915" s="71"/>
      <c r="B915" s="63"/>
      <c r="C915" s="63"/>
      <c r="D915" s="63"/>
      <c r="E915" s="63"/>
      <c r="F915" s="63"/>
    </row>
    <row r="916" spans="1:6" x14ac:dyDescent="0.3">
      <c r="A916" s="71"/>
      <c r="B916" s="63"/>
      <c r="C916" s="63"/>
      <c r="D916" s="63"/>
      <c r="E916" s="63"/>
      <c r="F916" s="63"/>
    </row>
    <row r="917" spans="1:6" x14ac:dyDescent="0.3">
      <c r="A917" s="71"/>
      <c r="B917" s="63"/>
      <c r="C917" s="63"/>
      <c r="D917" s="63"/>
      <c r="E917" s="63"/>
      <c r="F917" s="63"/>
    </row>
    <row r="918" spans="1:6" x14ac:dyDescent="0.3">
      <c r="A918" s="71"/>
      <c r="B918" s="63"/>
      <c r="C918" s="63"/>
      <c r="D918" s="63"/>
      <c r="E918" s="63"/>
      <c r="F918" s="63"/>
    </row>
    <row r="919" spans="1:6" x14ac:dyDescent="0.3">
      <c r="A919" s="71"/>
      <c r="B919" s="63"/>
      <c r="C919" s="63"/>
      <c r="D919" s="63"/>
      <c r="E919" s="63"/>
      <c r="F919" s="63"/>
    </row>
    <row r="920" spans="1:6" x14ac:dyDescent="0.3">
      <c r="A920" s="71"/>
      <c r="B920" s="63"/>
      <c r="C920" s="63"/>
      <c r="D920" s="63"/>
      <c r="E920" s="63"/>
      <c r="F920" s="63"/>
    </row>
    <row r="921" spans="1:6" x14ac:dyDescent="0.3">
      <c r="A921" s="71"/>
      <c r="B921" s="63"/>
      <c r="C921" s="63"/>
      <c r="D921" s="63"/>
      <c r="E921" s="63"/>
      <c r="F921" s="63"/>
    </row>
    <row r="922" spans="1:6" x14ac:dyDescent="0.3">
      <c r="A922" s="71"/>
      <c r="B922" s="63"/>
      <c r="C922" s="63"/>
      <c r="D922" s="63"/>
      <c r="E922" s="63"/>
      <c r="F922" s="63"/>
    </row>
    <row r="923" spans="1:6" x14ac:dyDescent="0.3">
      <c r="A923" s="71"/>
      <c r="B923" s="63"/>
      <c r="C923" s="63"/>
      <c r="D923" s="63"/>
      <c r="E923" s="63"/>
      <c r="F923" s="63"/>
    </row>
    <row r="924" spans="1:6" x14ac:dyDescent="0.3">
      <c r="A924" s="71"/>
      <c r="B924" s="63"/>
      <c r="C924" s="63"/>
      <c r="D924" s="63"/>
      <c r="E924" s="63"/>
      <c r="F924" s="63"/>
    </row>
    <row r="925" spans="1:6" x14ac:dyDescent="0.3">
      <c r="A925" s="71"/>
      <c r="B925" s="63"/>
      <c r="C925" s="63"/>
      <c r="D925" s="63"/>
      <c r="E925" s="63"/>
      <c r="F925" s="63"/>
    </row>
    <row r="926" spans="1:6" x14ac:dyDescent="0.3">
      <c r="A926" s="71"/>
      <c r="B926" s="63"/>
      <c r="C926" s="63"/>
      <c r="D926" s="63"/>
      <c r="E926" s="63"/>
      <c r="F926" s="63"/>
    </row>
    <row r="927" spans="1:6" x14ac:dyDescent="0.3">
      <c r="A927" s="71"/>
      <c r="B927" s="63"/>
      <c r="C927" s="63"/>
      <c r="D927" s="63"/>
      <c r="E927" s="63"/>
      <c r="F927" s="63"/>
    </row>
    <row r="928" spans="1:6" x14ac:dyDescent="0.3">
      <c r="A928" s="71"/>
      <c r="B928" s="63"/>
      <c r="C928" s="63"/>
      <c r="D928" s="63"/>
      <c r="E928" s="63"/>
      <c r="F928" s="63"/>
    </row>
    <row r="929" spans="1:6" x14ac:dyDescent="0.3">
      <c r="A929" s="71"/>
      <c r="B929" s="63"/>
      <c r="C929" s="63"/>
      <c r="D929" s="63"/>
      <c r="E929" s="63"/>
      <c r="F929" s="63"/>
    </row>
    <row r="930" spans="1:6" x14ac:dyDescent="0.3">
      <c r="A930" s="71"/>
      <c r="B930" s="63"/>
      <c r="C930" s="63"/>
      <c r="D930" s="63"/>
      <c r="E930" s="63"/>
      <c r="F930" s="63"/>
    </row>
    <row r="931" spans="1:6" x14ac:dyDescent="0.3">
      <c r="A931" s="71"/>
      <c r="B931" s="63"/>
      <c r="C931" s="63"/>
      <c r="D931" s="63"/>
      <c r="E931" s="63"/>
      <c r="F931" s="63"/>
    </row>
    <row r="932" spans="1:6" x14ac:dyDescent="0.3">
      <c r="A932" s="71"/>
      <c r="B932" s="63"/>
      <c r="C932" s="63"/>
      <c r="D932" s="63"/>
      <c r="E932" s="63"/>
      <c r="F932" s="63"/>
    </row>
    <row r="933" spans="1:6" x14ac:dyDescent="0.3">
      <c r="A933" s="71"/>
      <c r="B933" s="63"/>
      <c r="C933" s="63"/>
      <c r="D933" s="63"/>
      <c r="E933" s="63"/>
      <c r="F933" s="63"/>
    </row>
    <row r="934" spans="1:6" x14ac:dyDescent="0.3">
      <c r="A934" s="71"/>
      <c r="B934" s="63"/>
      <c r="C934" s="63"/>
      <c r="D934" s="63"/>
      <c r="E934" s="63"/>
      <c r="F934" s="63"/>
    </row>
    <row r="935" spans="1:6" x14ac:dyDescent="0.3">
      <c r="A935" s="71"/>
      <c r="B935" s="63"/>
      <c r="C935" s="63"/>
      <c r="D935" s="63"/>
      <c r="E935" s="63"/>
      <c r="F935" s="63"/>
    </row>
    <row r="936" spans="1:6" x14ac:dyDescent="0.3">
      <c r="A936" s="71"/>
      <c r="B936" s="63"/>
      <c r="C936" s="63"/>
      <c r="D936" s="63"/>
      <c r="E936" s="63"/>
      <c r="F936" s="63"/>
    </row>
    <row r="937" spans="1:6" x14ac:dyDescent="0.3">
      <c r="A937" s="71"/>
      <c r="B937" s="63"/>
      <c r="C937" s="63"/>
      <c r="D937" s="63"/>
      <c r="E937" s="63"/>
      <c r="F937" s="63"/>
    </row>
    <row r="938" spans="1:6" x14ac:dyDescent="0.3">
      <c r="A938" s="71"/>
      <c r="B938" s="63"/>
      <c r="C938" s="63"/>
      <c r="D938" s="63"/>
      <c r="E938" s="63"/>
      <c r="F938" s="63"/>
    </row>
    <row r="939" spans="1:6" x14ac:dyDescent="0.3">
      <c r="A939" s="71"/>
      <c r="B939" s="63"/>
      <c r="C939" s="63"/>
      <c r="D939" s="63"/>
      <c r="E939" s="63"/>
      <c r="F939" s="63"/>
    </row>
    <row r="940" spans="1:6" x14ac:dyDescent="0.3">
      <c r="A940" s="71"/>
      <c r="B940" s="63"/>
      <c r="C940" s="63"/>
      <c r="D940" s="63"/>
      <c r="E940" s="63"/>
      <c r="F940" s="63"/>
    </row>
    <row r="941" spans="1:6" x14ac:dyDescent="0.3">
      <c r="A941" s="71"/>
      <c r="B941" s="63"/>
      <c r="C941" s="63"/>
      <c r="D941" s="63"/>
      <c r="E941" s="63"/>
      <c r="F941" s="63"/>
    </row>
    <row r="942" spans="1:6" x14ac:dyDescent="0.3">
      <c r="A942" s="71"/>
      <c r="B942" s="63"/>
      <c r="C942" s="63"/>
      <c r="D942" s="63"/>
      <c r="E942" s="63"/>
      <c r="F942" s="63"/>
    </row>
    <row r="943" spans="1:6" x14ac:dyDescent="0.3">
      <c r="A943" s="71"/>
      <c r="B943" s="63"/>
      <c r="C943" s="63"/>
      <c r="D943" s="63"/>
      <c r="E943" s="63"/>
      <c r="F943" s="63"/>
    </row>
    <row r="944" spans="1:6" x14ac:dyDescent="0.3">
      <c r="A944" s="71"/>
      <c r="B944" s="63"/>
      <c r="C944" s="63"/>
      <c r="D944" s="63"/>
      <c r="E944" s="63"/>
      <c r="F944" s="63"/>
    </row>
    <row r="945" spans="1:6" x14ac:dyDescent="0.3">
      <c r="A945" s="71"/>
      <c r="B945" s="63"/>
      <c r="C945" s="63"/>
      <c r="D945" s="63"/>
      <c r="E945" s="63"/>
      <c r="F945" s="63"/>
    </row>
    <row r="946" spans="1:6" x14ac:dyDescent="0.3">
      <c r="A946" s="71"/>
      <c r="B946" s="63"/>
      <c r="C946" s="63"/>
      <c r="D946" s="63"/>
      <c r="E946" s="63"/>
      <c r="F946" s="63"/>
    </row>
    <row r="947" spans="1:6" x14ac:dyDescent="0.3">
      <c r="A947" s="71"/>
      <c r="B947" s="63"/>
      <c r="C947" s="63"/>
      <c r="D947" s="63"/>
      <c r="E947" s="63"/>
      <c r="F947" s="63"/>
    </row>
    <row r="948" spans="1:6" x14ac:dyDescent="0.3">
      <c r="A948" s="71"/>
      <c r="B948" s="63"/>
      <c r="C948" s="63"/>
      <c r="D948" s="63"/>
      <c r="E948" s="63"/>
      <c r="F948" s="63"/>
    </row>
    <row r="949" spans="1:6" x14ac:dyDescent="0.3">
      <c r="A949" s="71"/>
      <c r="B949" s="63"/>
      <c r="C949" s="63"/>
      <c r="D949" s="63"/>
      <c r="E949" s="63"/>
      <c r="F949" s="63"/>
    </row>
    <row r="950" spans="1:6" x14ac:dyDescent="0.3">
      <c r="A950" s="71"/>
      <c r="B950" s="63"/>
      <c r="C950" s="63"/>
      <c r="D950" s="63"/>
      <c r="E950" s="63"/>
      <c r="F950" s="63"/>
    </row>
    <row r="951" spans="1:6" x14ac:dyDescent="0.3">
      <c r="A951" s="71"/>
      <c r="B951" s="63"/>
      <c r="C951" s="63"/>
      <c r="D951" s="63"/>
      <c r="E951" s="63"/>
      <c r="F951" s="63"/>
    </row>
    <row r="952" spans="1:6" x14ac:dyDescent="0.3">
      <c r="A952" s="71"/>
      <c r="B952" s="63"/>
      <c r="C952" s="63"/>
      <c r="D952" s="63"/>
      <c r="E952" s="63"/>
      <c r="F952" s="63"/>
    </row>
    <row r="953" spans="1:6" x14ac:dyDescent="0.3">
      <c r="A953" s="71"/>
      <c r="B953" s="63"/>
      <c r="C953" s="63"/>
      <c r="D953" s="63"/>
      <c r="E953" s="63"/>
      <c r="F953" s="63"/>
    </row>
    <row r="954" spans="1:6" x14ac:dyDescent="0.3">
      <c r="A954" s="71"/>
      <c r="B954" s="63"/>
      <c r="C954" s="63"/>
      <c r="D954" s="63"/>
      <c r="E954" s="63"/>
      <c r="F954" s="63"/>
    </row>
    <row r="955" spans="1:6" x14ac:dyDescent="0.3">
      <c r="A955" s="71"/>
      <c r="B955" s="63"/>
      <c r="C955" s="63"/>
      <c r="D955" s="63"/>
      <c r="E955" s="63"/>
      <c r="F955" s="63"/>
    </row>
    <row r="956" spans="1:6" x14ac:dyDescent="0.3">
      <c r="A956" s="71"/>
      <c r="B956" s="63"/>
      <c r="C956" s="63"/>
      <c r="D956" s="63"/>
      <c r="E956" s="63"/>
      <c r="F956" s="63"/>
    </row>
    <row r="957" spans="1:6" x14ac:dyDescent="0.3">
      <c r="A957" s="71"/>
      <c r="B957" s="63"/>
      <c r="C957" s="63"/>
      <c r="D957" s="63"/>
      <c r="E957" s="63"/>
      <c r="F957" s="63"/>
    </row>
    <row r="958" spans="1:6" x14ac:dyDescent="0.3">
      <c r="A958" s="71"/>
      <c r="B958" s="63"/>
      <c r="C958" s="63"/>
      <c r="D958" s="63"/>
      <c r="E958" s="63"/>
      <c r="F958" s="63"/>
    </row>
    <row r="959" spans="1:6" x14ac:dyDescent="0.3">
      <c r="A959" s="71"/>
      <c r="B959" s="63"/>
      <c r="C959" s="63"/>
      <c r="D959" s="63"/>
      <c r="E959" s="63"/>
      <c r="F959" s="63"/>
    </row>
    <row r="960" spans="1:6" x14ac:dyDescent="0.3">
      <c r="A960" s="71"/>
      <c r="B960" s="63"/>
      <c r="C960" s="63"/>
      <c r="D960" s="63"/>
      <c r="E960" s="63"/>
      <c r="F960" s="63"/>
    </row>
    <row r="961" spans="1:6" x14ac:dyDescent="0.3">
      <c r="A961" s="71"/>
      <c r="B961" s="63"/>
      <c r="C961" s="63"/>
      <c r="D961" s="63"/>
      <c r="E961" s="63"/>
      <c r="F961" s="63"/>
    </row>
    <row r="962" spans="1:6" x14ac:dyDescent="0.3">
      <c r="A962" s="71"/>
      <c r="B962" s="63"/>
      <c r="C962" s="63"/>
      <c r="D962" s="63"/>
      <c r="E962" s="63"/>
      <c r="F962" s="63"/>
    </row>
    <row r="963" spans="1:6" x14ac:dyDescent="0.3">
      <c r="A963" s="71"/>
      <c r="B963" s="63"/>
      <c r="C963" s="63"/>
      <c r="D963" s="63"/>
      <c r="E963" s="63"/>
      <c r="F963" s="63"/>
    </row>
    <row r="964" spans="1:6" x14ac:dyDescent="0.3">
      <c r="A964" s="71"/>
      <c r="B964" s="63"/>
      <c r="C964" s="63"/>
      <c r="D964" s="63"/>
      <c r="E964" s="63"/>
      <c r="F964" s="63"/>
    </row>
    <row r="965" spans="1:6" x14ac:dyDescent="0.3">
      <c r="A965" s="71"/>
      <c r="B965" s="63"/>
      <c r="C965" s="63"/>
      <c r="D965" s="63"/>
      <c r="E965" s="63"/>
      <c r="F965" s="63"/>
    </row>
    <row r="966" spans="1:6" x14ac:dyDescent="0.3">
      <c r="A966" s="71"/>
      <c r="B966" s="63"/>
      <c r="C966" s="63"/>
      <c r="D966" s="63"/>
      <c r="E966" s="63"/>
      <c r="F966" s="63"/>
    </row>
    <row r="967" spans="1:6" x14ac:dyDescent="0.3">
      <c r="A967" s="71"/>
      <c r="B967" s="63"/>
      <c r="C967" s="63"/>
      <c r="D967" s="63"/>
      <c r="E967" s="63"/>
      <c r="F967" s="63"/>
    </row>
    <row r="968" spans="1:6" x14ac:dyDescent="0.3">
      <c r="A968" s="71"/>
      <c r="B968" s="63"/>
      <c r="C968" s="63"/>
      <c r="D968" s="63"/>
      <c r="E968" s="63"/>
      <c r="F968" s="63"/>
    </row>
    <row r="969" spans="1:6" x14ac:dyDescent="0.3">
      <c r="A969" s="71"/>
      <c r="B969" s="63"/>
      <c r="C969" s="63"/>
      <c r="D969" s="63"/>
      <c r="E969" s="63"/>
      <c r="F969" s="63"/>
    </row>
    <row r="970" spans="1:6" x14ac:dyDescent="0.3">
      <c r="A970" s="71"/>
      <c r="B970" s="63"/>
      <c r="C970" s="63"/>
      <c r="D970" s="63"/>
      <c r="E970" s="63"/>
      <c r="F970" s="63"/>
    </row>
    <row r="971" spans="1:6" x14ac:dyDescent="0.3">
      <c r="A971" s="71"/>
      <c r="B971" s="63"/>
      <c r="C971" s="63"/>
      <c r="D971" s="63"/>
      <c r="E971" s="63"/>
      <c r="F971" s="63"/>
    </row>
    <row r="972" spans="1:6" x14ac:dyDescent="0.3">
      <c r="A972" s="71"/>
      <c r="B972" s="63"/>
      <c r="C972" s="63"/>
      <c r="D972" s="63"/>
      <c r="E972" s="63"/>
      <c r="F972" s="63"/>
    </row>
    <row r="973" spans="1:6" x14ac:dyDescent="0.3">
      <c r="A973" s="71"/>
      <c r="B973" s="63"/>
      <c r="C973" s="63"/>
      <c r="D973" s="63"/>
      <c r="E973" s="63"/>
      <c r="F973" s="63"/>
    </row>
    <row r="974" spans="1:6" x14ac:dyDescent="0.3">
      <c r="A974" s="71"/>
      <c r="B974" s="63"/>
      <c r="C974" s="63"/>
      <c r="D974" s="63"/>
      <c r="E974" s="63"/>
      <c r="F974" s="63"/>
    </row>
    <row r="975" spans="1:6" x14ac:dyDescent="0.3">
      <c r="A975" s="71"/>
      <c r="B975" s="63"/>
      <c r="C975" s="63"/>
      <c r="D975" s="63"/>
      <c r="E975" s="63"/>
      <c r="F975" s="63"/>
    </row>
    <row r="976" spans="1:6" x14ac:dyDescent="0.3">
      <c r="A976" s="71"/>
      <c r="B976" s="63"/>
      <c r="C976" s="63"/>
      <c r="D976" s="63"/>
      <c r="E976" s="63"/>
      <c r="F976" s="63"/>
    </row>
    <row r="977" spans="1:6" x14ac:dyDescent="0.3">
      <c r="A977" s="71"/>
      <c r="B977" s="63"/>
      <c r="C977" s="63"/>
      <c r="D977" s="63"/>
      <c r="E977" s="63"/>
      <c r="F977" s="63"/>
    </row>
    <row r="978" spans="1:6" x14ac:dyDescent="0.3">
      <c r="A978" s="71"/>
      <c r="B978" s="63"/>
      <c r="C978" s="63"/>
      <c r="D978" s="63"/>
      <c r="E978" s="63"/>
      <c r="F978" s="63"/>
    </row>
    <row r="979" spans="1:6" x14ac:dyDescent="0.3">
      <c r="A979" s="71"/>
      <c r="B979" s="63"/>
      <c r="C979" s="63"/>
      <c r="D979" s="63"/>
      <c r="E979" s="63"/>
      <c r="F979" s="63"/>
    </row>
    <row r="980" spans="1:6" x14ac:dyDescent="0.3">
      <c r="A980" s="71"/>
      <c r="B980" s="63"/>
      <c r="C980" s="63"/>
      <c r="D980" s="63"/>
      <c r="E980" s="63"/>
      <c r="F980" s="63"/>
    </row>
    <row r="981" spans="1:6" x14ac:dyDescent="0.3">
      <c r="A981" s="71"/>
      <c r="B981" s="63"/>
      <c r="C981" s="63"/>
      <c r="D981" s="63"/>
      <c r="E981" s="63"/>
      <c r="F981" s="63"/>
    </row>
    <row r="982" spans="1:6" x14ac:dyDescent="0.3">
      <c r="A982" s="71"/>
      <c r="B982" s="63"/>
      <c r="C982" s="63"/>
      <c r="D982" s="63"/>
      <c r="E982" s="63"/>
      <c r="F982" s="63"/>
    </row>
    <row r="983" spans="1:6" x14ac:dyDescent="0.3">
      <c r="A983" s="71"/>
      <c r="B983" s="63"/>
      <c r="C983" s="63"/>
      <c r="D983" s="63"/>
      <c r="E983" s="63"/>
      <c r="F983" s="63"/>
    </row>
    <row r="984" spans="1:6" x14ac:dyDescent="0.3">
      <c r="A984" s="71"/>
      <c r="B984" s="63"/>
      <c r="C984" s="63"/>
      <c r="D984" s="63"/>
      <c r="E984" s="63"/>
      <c r="F984" s="63"/>
    </row>
    <row r="985" spans="1:6" x14ac:dyDescent="0.3">
      <c r="A985" s="71"/>
      <c r="B985" s="63"/>
      <c r="C985" s="63"/>
      <c r="D985" s="63"/>
      <c r="E985" s="63"/>
      <c r="F985" s="63"/>
    </row>
    <row r="986" spans="1:6" x14ac:dyDescent="0.3">
      <c r="A986" s="71"/>
      <c r="B986" s="63"/>
      <c r="C986" s="63"/>
      <c r="D986" s="63"/>
      <c r="E986" s="63"/>
      <c r="F986" s="63"/>
    </row>
    <row r="987" spans="1:6" x14ac:dyDescent="0.3">
      <c r="A987" s="71"/>
      <c r="B987" s="63"/>
      <c r="C987" s="63"/>
      <c r="D987" s="63"/>
      <c r="E987" s="63"/>
      <c r="F987" s="63"/>
    </row>
    <row r="988" spans="1:6" x14ac:dyDescent="0.3">
      <c r="A988" s="71"/>
      <c r="B988" s="63"/>
      <c r="C988" s="63"/>
      <c r="D988" s="63"/>
      <c r="E988" s="63"/>
      <c r="F988" s="63"/>
    </row>
    <row r="989" spans="1:6" x14ac:dyDescent="0.3">
      <c r="A989" s="71"/>
      <c r="B989" s="63"/>
      <c r="C989" s="63"/>
      <c r="D989" s="63"/>
      <c r="E989" s="63"/>
      <c r="F989" s="63"/>
    </row>
    <row r="990" spans="1:6" x14ac:dyDescent="0.3">
      <c r="A990" s="71"/>
      <c r="B990" s="63"/>
      <c r="C990" s="63"/>
      <c r="D990" s="63"/>
      <c r="E990" s="63"/>
      <c r="F990" s="63"/>
    </row>
    <row r="991" spans="1:6" x14ac:dyDescent="0.3">
      <c r="A991" s="71"/>
      <c r="B991" s="63"/>
      <c r="C991" s="63"/>
      <c r="D991" s="63"/>
      <c r="E991" s="63"/>
      <c r="F991" s="63"/>
    </row>
    <row r="992" spans="1:6" x14ac:dyDescent="0.3">
      <c r="A992" s="71"/>
      <c r="B992" s="63"/>
      <c r="C992" s="63"/>
      <c r="D992" s="63"/>
      <c r="E992" s="63"/>
      <c r="F992" s="63"/>
    </row>
    <row r="993" spans="1:6" x14ac:dyDescent="0.3">
      <c r="A993" s="71"/>
      <c r="B993" s="63"/>
      <c r="C993" s="63"/>
      <c r="D993" s="63"/>
      <c r="E993" s="63"/>
      <c r="F993" s="63"/>
    </row>
    <row r="994" spans="1:6" x14ac:dyDescent="0.3">
      <c r="A994" s="71"/>
      <c r="B994" s="63"/>
      <c r="C994" s="63"/>
      <c r="D994" s="63"/>
      <c r="E994" s="63"/>
      <c r="F994" s="63"/>
    </row>
    <row r="995" spans="1:6" x14ac:dyDescent="0.3">
      <c r="A995" s="71"/>
      <c r="B995" s="63"/>
      <c r="C995" s="63"/>
      <c r="D995" s="63"/>
      <c r="E995" s="63"/>
      <c r="F995" s="63"/>
    </row>
    <row r="996" spans="1:6" x14ac:dyDescent="0.3">
      <c r="A996" s="71"/>
      <c r="B996" s="63"/>
      <c r="C996" s="63"/>
      <c r="D996" s="63"/>
      <c r="E996" s="63"/>
      <c r="F996" s="63"/>
    </row>
    <row r="997" spans="1:6" x14ac:dyDescent="0.3">
      <c r="A997" s="71"/>
      <c r="B997" s="63"/>
      <c r="C997" s="63"/>
      <c r="D997" s="63"/>
      <c r="E997" s="63"/>
      <c r="F997" s="63"/>
    </row>
    <row r="998" spans="1:6" x14ac:dyDescent="0.3">
      <c r="A998" s="71"/>
      <c r="B998" s="63"/>
      <c r="C998" s="63"/>
      <c r="D998" s="63"/>
      <c r="E998" s="63"/>
      <c r="F998" s="63"/>
    </row>
    <row r="999" spans="1:6" x14ac:dyDescent="0.3">
      <c r="A999" s="71"/>
      <c r="B999" s="63"/>
      <c r="C999" s="63"/>
      <c r="D999" s="63"/>
      <c r="E999" s="63"/>
      <c r="F999" s="63"/>
    </row>
    <row r="1000" spans="1:6" x14ac:dyDescent="0.3">
      <c r="A1000" s="71"/>
      <c r="B1000" s="63"/>
      <c r="C1000" s="63"/>
      <c r="D1000" s="63"/>
      <c r="E1000" s="63"/>
      <c r="F1000" s="63"/>
    </row>
    <row r="1001" spans="1:6" x14ac:dyDescent="0.3">
      <c r="A1001" s="71"/>
      <c r="B1001" s="63"/>
      <c r="C1001" s="63"/>
      <c r="D1001" s="63"/>
      <c r="E1001" s="63"/>
      <c r="F1001" s="63"/>
    </row>
    <row r="1002" spans="1:6" x14ac:dyDescent="0.3">
      <c r="A1002" s="71"/>
      <c r="B1002" s="63"/>
      <c r="C1002" s="63"/>
      <c r="D1002" s="63"/>
      <c r="E1002" s="63"/>
      <c r="F1002" s="63"/>
    </row>
    <row r="1003" spans="1:6" x14ac:dyDescent="0.3">
      <c r="A1003" s="71"/>
      <c r="B1003" s="63"/>
      <c r="C1003" s="63"/>
      <c r="D1003" s="63"/>
      <c r="E1003" s="63"/>
      <c r="F1003" s="63"/>
    </row>
    <row r="1004" spans="1:6" x14ac:dyDescent="0.3">
      <c r="A1004" s="71"/>
      <c r="B1004" s="63"/>
      <c r="C1004" s="63"/>
      <c r="D1004" s="63"/>
      <c r="E1004" s="63"/>
      <c r="F1004" s="63"/>
    </row>
    <row r="1005" spans="1:6" x14ac:dyDescent="0.3">
      <c r="A1005" s="71"/>
      <c r="B1005" s="63"/>
      <c r="C1005" s="63"/>
      <c r="D1005" s="63"/>
      <c r="E1005" s="63"/>
      <c r="F1005" s="63"/>
    </row>
    <row r="1006" spans="1:6" x14ac:dyDescent="0.3">
      <c r="A1006" s="71"/>
      <c r="B1006" s="63"/>
      <c r="C1006" s="63"/>
      <c r="D1006" s="63"/>
      <c r="E1006" s="63"/>
      <c r="F1006" s="63"/>
    </row>
    <row r="1007" spans="1:6" x14ac:dyDescent="0.3">
      <c r="A1007" s="71"/>
      <c r="B1007" s="63"/>
      <c r="C1007" s="63"/>
      <c r="D1007" s="63"/>
      <c r="E1007" s="63"/>
      <c r="F1007" s="63"/>
    </row>
    <row r="1008" spans="1:6" x14ac:dyDescent="0.3">
      <c r="A1008" s="71"/>
      <c r="B1008" s="63"/>
      <c r="C1008" s="63"/>
      <c r="D1008" s="63"/>
      <c r="E1008" s="63"/>
      <c r="F1008" s="63"/>
    </row>
    <row r="1009" spans="1:6" x14ac:dyDescent="0.3">
      <c r="A1009" s="71"/>
      <c r="B1009" s="63"/>
      <c r="C1009" s="63"/>
      <c r="D1009" s="63"/>
      <c r="E1009" s="63"/>
      <c r="F1009" s="63"/>
    </row>
    <row r="1010" spans="1:6" x14ac:dyDescent="0.3">
      <c r="A1010" s="71"/>
      <c r="B1010" s="63"/>
      <c r="C1010" s="63"/>
      <c r="D1010" s="63"/>
      <c r="E1010" s="63"/>
      <c r="F1010" s="63"/>
    </row>
    <row r="1011" spans="1:6" x14ac:dyDescent="0.3">
      <c r="A1011" s="71"/>
      <c r="B1011" s="63"/>
      <c r="C1011" s="63"/>
      <c r="D1011" s="63"/>
      <c r="E1011" s="63"/>
      <c r="F1011" s="63"/>
    </row>
    <row r="1012" spans="1:6" x14ac:dyDescent="0.3">
      <c r="A1012" s="71"/>
      <c r="B1012" s="63"/>
      <c r="C1012" s="63"/>
      <c r="D1012" s="63"/>
      <c r="E1012" s="63"/>
      <c r="F1012" s="63"/>
    </row>
    <row r="1013" spans="1:6" x14ac:dyDescent="0.3">
      <c r="A1013" s="71"/>
      <c r="B1013" s="63"/>
      <c r="C1013" s="63"/>
      <c r="D1013" s="63"/>
      <c r="E1013" s="63"/>
      <c r="F1013" s="63"/>
    </row>
    <row r="1014" spans="1:6" x14ac:dyDescent="0.3">
      <c r="A1014" s="71"/>
      <c r="B1014" s="63"/>
      <c r="C1014" s="63"/>
      <c r="D1014" s="63"/>
      <c r="E1014" s="63"/>
      <c r="F1014" s="63"/>
    </row>
    <row r="1015" spans="1:6" x14ac:dyDescent="0.3">
      <c r="A1015" s="71"/>
      <c r="B1015" s="63"/>
      <c r="C1015" s="63"/>
      <c r="D1015" s="63"/>
      <c r="E1015" s="63"/>
      <c r="F1015" s="63"/>
    </row>
    <row r="1016" spans="1:6" x14ac:dyDescent="0.3">
      <c r="A1016" s="71"/>
      <c r="B1016" s="63"/>
      <c r="C1016" s="63"/>
      <c r="D1016" s="63"/>
      <c r="E1016" s="63"/>
      <c r="F1016" s="63"/>
    </row>
    <row r="1017" spans="1:6" x14ac:dyDescent="0.3">
      <c r="A1017" s="71"/>
      <c r="B1017" s="63"/>
      <c r="C1017" s="63"/>
      <c r="D1017" s="63"/>
      <c r="E1017" s="63"/>
      <c r="F1017" s="63"/>
    </row>
    <row r="1018" spans="1:6" x14ac:dyDescent="0.3">
      <c r="A1018" s="71"/>
      <c r="B1018" s="63"/>
      <c r="C1018" s="63"/>
      <c r="D1018" s="63"/>
      <c r="E1018" s="63"/>
      <c r="F1018" s="63"/>
    </row>
    <row r="1019" spans="1:6" x14ac:dyDescent="0.3">
      <c r="A1019" s="71"/>
      <c r="B1019" s="63"/>
      <c r="C1019" s="63"/>
      <c r="D1019" s="63"/>
      <c r="E1019" s="63"/>
      <c r="F1019" s="63"/>
    </row>
    <row r="1020" spans="1:6" x14ac:dyDescent="0.3">
      <c r="A1020" s="71"/>
      <c r="B1020" s="63"/>
      <c r="C1020" s="63"/>
      <c r="D1020" s="63"/>
      <c r="E1020" s="63"/>
      <c r="F1020" s="63"/>
    </row>
    <row r="1021" spans="1:6" x14ac:dyDescent="0.3">
      <c r="A1021" s="71"/>
      <c r="B1021" s="63"/>
      <c r="C1021" s="63"/>
      <c r="D1021" s="63"/>
      <c r="E1021" s="63"/>
      <c r="F1021" s="63"/>
    </row>
    <row r="1022" spans="1:6" x14ac:dyDescent="0.3">
      <c r="A1022" s="71"/>
      <c r="B1022" s="63"/>
      <c r="C1022" s="63"/>
      <c r="D1022" s="63"/>
      <c r="E1022" s="63"/>
      <c r="F1022" s="63"/>
    </row>
    <row r="1023" spans="1:6" x14ac:dyDescent="0.3">
      <c r="A1023" s="71"/>
      <c r="B1023" s="63"/>
      <c r="C1023" s="63"/>
      <c r="D1023" s="63"/>
      <c r="E1023" s="63"/>
      <c r="F1023" s="63"/>
    </row>
    <row r="1024" spans="1:6" x14ac:dyDescent="0.3">
      <c r="A1024" s="71"/>
      <c r="B1024" s="63"/>
      <c r="C1024" s="63"/>
      <c r="D1024" s="63"/>
      <c r="E1024" s="63"/>
      <c r="F1024" s="63"/>
    </row>
    <row r="1025" spans="1:6" x14ac:dyDescent="0.3">
      <c r="A1025" s="71"/>
      <c r="B1025" s="63"/>
      <c r="C1025" s="63"/>
      <c r="D1025" s="63"/>
      <c r="E1025" s="63"/>
      <c r="F1025" s="63"/>
    </row>
    <row r="1026" spans="1:6" x14ac:dyDescent="0.3">
      <c r="A1026" s="71"/>
      <c r="B1026" s="63"/>
      <c r="C1026" s="63"/>
      <c r="D1026" s="63"/>
      <c r="E1026" s="63"/>
      <c r="F1026" s="63"/>
    </row>
    <row r="1027" spans="1:6" x14ac:dyDescent="0.3">
      <c r="A1027" s="71"/>
      <c r="B1027" s="63"/>
      <c r="C1027" s="63"/>
      <c r="D1027" s="63"/>
      <c r="E1027" s="63"/>
      <c r="F1027" s="63"/>
    </row>
    <row r="1028" spans="1:6" x14ac:dyDescent="0.3">
      <c r="A1028" s="71"/>
      <c r="B1028" s="63"/>
      <c r="C1028" s="63"/>
      <c r="D1028" s="63"/>
      <c r="E1028" s="63"/>
      <c r="F1028" s="63"/>
    </row>
    <row r="1029" spans="1:6" x14ac:dyDescent="0.3">
      <c r="A1029" s="71"/>
      <c r="B1029" s="63"/>
      <c r="C1029" s="63"/>
      <c r="D1029" s="63"/>
      <c r="E1029" s="63"/>
      <c r="F1029" s="63"/>
    </row>
    <row r="1030" spans="1:6" x14ac:dyDescent="0.3">
      <c r="A1030" s="71"/>
      <c r="B1030" s="63"/>
      <c r="C1030" s="63"/>
      <c r="D1030" s="63"/>
      <c r="E1030" s="63"/>
      <c r="F1030" s="63"/>
    </row>
    <row r="1031" spans="1:6" x14ac:dyDescent="0.3">
      <c r="A1031" s="71"/>
      <c r="B1031" s="63"/>
      <c r="C1031" s="63"/>
      <c r="D1031" s="63"/>
      <c r="E1031" s="63"/>
      <c r="F1031" s="63"/>
    </row>
    <row r="1032" spans="1:6" x14ac:dyDescent="0.3">
      <c r="A1032" s="71"/>
      <c r="B1032" s="63"/>
      <c r="C1032" s="63"/>
      <c r="D1032" s="63"/>
      <c r="E1032" s="63"/>
      <c r="F1032" s="63"/>
    </row>
    <row r="1033" spans="1:6" x14ac:dyDescent="0.3">
      <c r="A1033" s="71"/>
      <c r="B1033" s="63"/>
      <c r="C1033" s="63"/>
      <c r="D1033" s="63"/>
      <c r="E1033" s="63"/>
      <c r="F1033" s="63"/>
    </row>
    <row r="1034" spans="1:6" x14ac:dyDescent="0.3">
      <c r="A1034" s="71"/>
      <c r="B1034" s="63"/>
      <c r="C1034" s="63"/>
      <c r="D1034" s="63"/>
      <c r="E1034" s="63"/>
      <c r="F1034" s="63"/>
    </row>
    <row r="1035" spans="1:6" x14ac:dyDescent="0.3">
      <c r="A1035" s="71"/>
      <c r="B1035" s="63"/>
      <c r="C1035" s="63"/>
      <c r="D1035" s="63"/>
      <c r="E1035" s="63"/>
      <c r="F1035" s="63"/>
    </row>
    <row r="1036" spans="1:6" x14ac:dyDescent="0.3">
      <c r="A1036" s="71"/>
      <c r="B1036" s="63"/>
      <c r="C1036" s="63"/>
      <c r="D1036" s="63"/>
      <c r="E1036" s="63"/>
      <c r="F1036" s="63"/>
    </row>
    <row r="1037" spans="1:6" x14ac:dyDescent="0.3">
      <c r="A1037" s="71"/>
      <c r="B1037" s="63"/>
      <c r="C1037" s="63"/>
      <c r="D1037" s="63"/>
      <c r="E1037" s="63"/>
      <c r="F1037" s="63"/>
    </row>
    <row r="1038" spans="1:6" x14ac:dyDescent="0.3">
      <c r="A1038" s="71"/>
      <c r="B1038" s="63"/>
      <c r="C1038" s="63"/>
      <c r="D1038" s="63"/>
      <c r="E1038" s="63"/>
      <c r="F1038" s="63"/>
    </row>
    <row r="1039" spans="1:6" x14ac:dyDescent="0.3">
      <c r="A1039" s="71"/>
      <c r="B1039" s="63"/>
      <c r="C1039" s="63"/>
      <c r="D1039" s="63"/>
      <c r="E1039" s="63"/>
      <c r="F1039" s="63"/>
    </row>
    <row r="1040" spans="1:6" x14ac:dyDescent="0.3">
      <c r="A1040" s="71"/>
      <c r="B1040" s="63"/>
      <c r="C1040" s="63"/>
      <c r="D1040" s="63"/>
      <c r="E1040" s="63"/>
      <c r="F1040" s="63"/>
    </row>
    <row r="1041" spans="1:6" x14ac:dyDescent="0.3">
      <c r="A1041" s="71"/>
      <c r="B1041" s="63"/>
      <c r="C1041" s="63"/>
      <c r="D1041" s="63"/>
      <c r="E1041" s="63"/>
      <c r="F1041" s="63"/>
    </row>
    <row r="1042" spans="1:6" x14ac:dyDescent="0.3">
      <c r="A1042" s="71"/>
      <c r="B1042" s="63"/>
      <c r="C1042" s="63"/>
      <c r="D1042" s="63"/>
      <c r="E1042" s="63"/>
      <c r="F1042" s="63"/>
    </row>
    <row r="1043" spans="1:6" x14ac:dyDescent="0.3">
      <c r="A1043" s="71"/>
      <c r="B1043" s="63"/>
      <c r="C1043" s="63"/>
      <c r="D1043" s="63"/>
      <c r="E1043" s="63"/>
      <c r="F1043" s="63"/>
    </row>
    <row r="1044" spans="1:6" x14ac:dyDescent="0.3">
      <c r="A1044" s="71"/>
      <c r="B1044" s="63"/>
      <c r="C1044" s="63"/>
      <c r="D1044" s="63"/>
      <c r="E1044" s="63"/>
      <c r="F1044" s="63"/>
    </row>
    <row r="1045" spans="1:6" x14ac:dyDescent="0.3">
      <c r="A1045" s="71"/>
      <c r="B1045" s="63"/>
      <c r="C1045" s="63"/>
      <c r="D1045" s="63"/>
      <c r="E1045" s="63"/>
      <c r="F1045" s="63"/>
    </row>
    <row r="1046" spans="1:6" x14ac:dyDescent="0.3">
      <c r="A1046" s="71"/>
      <c r="B1046" s="63"/>
      <c r="C1046" s="63"/>
      <c r="D1046" s="63"/>
      <c r="E1046" s="63"/>
      <c r="F1046" s="63"/>
    </row>
    <row r="1047" spans="1:6" x14ac:dyDescent="0.3">
      <c r="A1047" s="71"/>
      <c r="B1047" s="63"/>
      <c r="C1047" s="63"/>
      <c r="D1047" s="63"/>
      <c r="E1047" s="63"/>
      <c r="F1047" s="63"/>
    </row>
    <row r="1048" spans="1:6" x14ac:dyDescent="0.3">
      <c r="A1048" s="71"/>
      <c r="B1048" s="63"/>
      <c r="C1048" s="63"/>
      <c r="D1048" s="63"/>
      <c r="E1048" s="63"/>
      <c r="F1048" s="63"/>
    </row>
    <row r="1049" spans="1:6" x14ac:dyDescent="0.3">
      <c r="A1049" s="71"/>
      <c r="B1049" s="63"/>
      <c r="C1049" s="63"/>
      <c r="D1049" s="63"/>
      <c r="E1049" s="63"/>
      <c r="F1049" s="63"/>
    </row>
    <row r="1050" spans="1:6" x14ac:dyDescent="0.3">
      <c r="A1050" s="71"/>
      <c r="B1050" s="63"/>
      <c r="C1050" s="63"/>
      <c r="D1050" s="63"/>
      <c r="E1050" s="63"/>
      <c r="F1050" s="63"/>
    </row>
    <row r="1051" spans="1:6" x14ac:dyDescent="0.3">
      <c r="A1051" s="71"/>
      <c r="B1051" s="63"/>
      <c r="C1051" s="63"/>
      <c r="D1051" s="63"/>
      <c r="E1051" s="63"/>
      <c r="F1051" s="63"/>
    </row>
    <row r="1052" spans="1:6" x14ac:dyDescent="0.3">
      <c r="A1052" s="71"/>
      <c r="B1052" s="63"/>
      <c r="C1052" s="63"/>
      <c r="D1052" s="63"/>
      <c r="E1052" s="63"/>
      <c r="F1052" s="63"/>
    </row>
    <row r="1053" spans="1:6" x14ac:dyDescent="0.3">
      <c r="A1053" s="71"/>
      <c r="B1053" s="63"/>
      <c r="C1053" s="63"/>
      <c r="D1053" s="63"/>
      <c r="E1053" s="63"/>
      <c r="F1053" s="63"/>
    </row>
    <row r="1054" spans="1:6" x14ac:dyDescent="0.3">
      <c r="A1054" s="71"/>
      <c r="B1054" s="63"/>
      <c r="C1054" s="63"/>
      <c r="D1054" s="63"/>
      <c r="E1054" s="63"/>
      <c r="F1054" s="63"/>
    </row>
    <row r="1055" spans="1:6" x14ac:dyDescent="0.3">
      <c r="A1055" s="71"/>
      <c r="B1055" s="63"/>
      <c r="C1055" s="63"/>
      <c r="D1055" s="63"/>
      <c r="E1055" s="63"/>
      <c r="F1055" s="63"/>
    </row>
    <row r="1056" spans="1:6" x14ac:dyDescent="0.3">
      <c r="A1056" s="71"/>
      <c r="B1056" s="63"/>
      <c r="C1056" s="63"/>
      <c r="D1056" s="63"/>
      <c r="E1056" s="63"/>
      <c r="F1056" s="63"/>
    </row>
    <row r="1057" spans="1:6" x14ac:dyDescent="0.3">
      <c r="A1057" s="71"/>
      <c r="B1057" s="63"/>
      <c r="C1057" s="63"/>
      <c r="D1057" s="63"/>
      <c r="E1057" s="63"/>
      <c r="F1057" s="63"/>
    </row>
    <row r="1058" spans="1:6" x14ac:dyDescent="0.3">
      <c r="A1058" s="71"/>
      <c r="B1058" s="63"/>
      <c r="C1058" s="63"/>
      <c r="D1058" s="63"/>
      <c r="E1058" s="63"/>
      <c r="F1058" s="63"/>
    </row>
    <row r="1059" spans="1:6" x14ac:dyDescent="0.3">
      <c r="A1059" s="71"/>
      <c r="B1059" s="63"/>
      <c r="C1059" s="63"/>
      <c r="D1059" s="63"/>
      <c r="E1059" s="63"/>
      <c r="F1059" s="63"/>
    </row>
    <row r="1060" spans="1:6" x14ac:dyDescent="0.3">
      <c r="A1060" s="71"/>
      <c r="B1060" s="63"/>
      <c r="C1060" s="63"/>
      <c r="D1060" s="63"/>
      <c r="E1060" s="63"/>
      <c r="F1060" s="63"/>
    </row>
    <row r="1061" spans="1:6" x14ac:dyDescent="0.3">
      <c r="A1061" s="71"/>
      <c r="B1061" s="63"/>
      <c r="C1061" s="63"/>
      <c r="D1061" s="63"/>
      <c r="E1061" s="63"/>
      <c r="F1061" s="63"/>
    </row>
    <row r="1062" spans="1:6" x14ac:dyDescent="0.3">
      <c r="A1062" s="71"/>
      <c r="B1062" s="63"/>
      <c r="C1062" s="63"/>
      <c r="D1062" s="63"/>
      <c r="E1062" s="63"/>
      <c r="F1062" s="63"/>
    </row>
    <row r="1063" spans="1:6" x14ac:dyDescent="0.3">
      <c r="A1063" s="71"/>
      <c r="B1063" s="63"/>
      <c r="C1063" s="63"/>
      <c r="D1063" s="63"/>
      <c r="E1063" s="63"/>
      <c r="F1063" s="63"/>
    </row>
    <row r="1064" spans="1:6" x14ac:dyDescent="0.3">
      <c r="A1064" s="71"/>
      <c r="B1064" s="63"/>
      <c r="C1064" s="63"/>
      <c r="D1064" s="63"/>
      <c r="E1064" s="63"/>
      <c r="F1064" s="63"/>
    </row>
    <row r="1065" spans="1:6" x14ac:dyDescent="0.3">
      <c r="A1065" s="71"/>
      <c r="B1065" s="63"/>
      <c r="C1065" s="63"/>
      <c r="D1065" s="63"/>
      <c r="E1065" s="63"/>
      <c r="F1065" s="63"/>
    </row>
    <row r="1066" spans="1:6" x14ac:dyDescent="0.3">
      <c r="A1066" s="71"/>
      <c r="B1066" s="63"/>
      <c r="C1066" s="63"/>
      <c r="D1066" s="63"/>
      <c r="E1066" s="63"/>
      <c r="F1066" s="63"/>
    </row>
    <row r="1067" spans="1:6" x14ac:dyDescent="0.3">
      <c r="A1067" s="71"/>
      <c r="B1067" s="63"/>
      <c r="C1067" s="63"/>
      <c r="D1067" s="63"/>
      <c r="E1067" s="63"/>
      <c r="F1067" s="63"/>
    </row>
    <row r="1068" spans="1:6" x14ac:dyDescent="0.3">
      <c r="A1068" s="71"/>
      <c r="B1068" s="63"/>
      <c r="C1068" s="63"/>
      <c r="D1068" s="63"/>
      <c r="E1068" s="63"/>
      <c r="F1068" s="63"/>
    </row>
    <row r="1069" spans="1:6" x14ac:dyDescent="0.3">
      <c r="A1069" s="71"/>
      <c r="B1069" s="63"/>
      <c r="C1069" s="63"/>
      <c r="D1069" s="63"/>
      <c r="E1069" s="63"/>
      <c r="F1069" s="63"/>
    </row>
    <row r="1070" spans="1:6" x14ac:dyDescent="0.3">
      <c r="A1070" s="71"/>
      <c r="B1070" s="63"/>
      <c r="C1070" s="63"/>
      <c r="D1070" s="63"/>
      <c r="E1070" s="63"/>
      <c r="F1070" s="63"/>
    </row>
    <row r="1071" spans="1:6" x14ac:dyDescent="0.3">
      <c r="A1071" s="71"/>
      <c r="B1071" s="63"/>
      <c r="C1071" s="63"/>
      <c r="D1071" s="63"/>
      <c r="E1071" s="63"/>
      <c r="F1071" s="63"/>
    </row>
    <row r="1072" spans="1:6" x14ac:dyDescent="0.3">
      <c r="A1072" s="71"/>
      <c r="B1072" s="63"/>
      <c r="C1072" s="63"/>
      <c r="D1072" s="63"/>
      <c r="E1072" s="63"/>
      <c r="F1072" s="63"/>
    </row>
    <row r="1073" spans="1:6" x14ac:dyDescent="0.3">
      <c r="A1073" s="71"/>
      <c r="B1073" s="63"/>
      <c r="C1073" s="63"/>
      <c r="D1073" s="63"/>
      <c r="E1073" s="63"/>
      <c r="F1073" s="63"/>
    </row>
    <row r="1074" spans="1:6" x14ac:dyDescent="0.3">
      <c r="A1074" s="71"/>
      <c r="B1074" s="63"/>
      <c r="C1074" s="63"/>
      <c r="D1074" s="63"/>
      <c r="E1074" s="63"/>
      <c r="F1074" s="63"/>
    </row>
    <row r="1075" spans="1:6" x14ac:dyDescent="0.3">
      <c r="A1075" s="71"/>
      <c r="B1075" s="63"/>
      <c r="C1075" s="63"/>
      <c r="D1075" s="63"/>
      <c r="E1075" s="63"/>
      <c r="F1075" s="63"/>
    </row>
    <row r="1076" spans="1:6" x14ac:dyDescent="0.3">
      <c r="A1076" s="71"/>
      <c r="B1076" s="63"/>
      <c r="C1076" s="63"/>
      <c r="D1076" s="63"/>
      <c r="E1076" s="63"/>
      <c r="F1076" s="63"/>
    </row>
    <row r="1077" spans="1:6" x14ac:dyDescent="0.3">
      <c r="A1077" s="71"/>
      <c r="B1077" s="63"/>
      <c r="C1077" s="63"/>
      <c r="D1077" s="63"/>
      <c r="E1077" s="63"/>
      <c r="F1077" s="63"/>
    </row>
    <row r="1078" spans="1:6" x14ac:dyDescent="0.3">
      <c r="A1078" s="71"/>
      <c r="B1078" s="63"/>
      <c r="C1078" s="63"/>
      <c r="D1078" s="63"/>
      <c r="E1078" s="63"/>
      <c r="F1078" s="63"/>
    </row>
    <row r="1079" spans="1:6" x14ac:dyDescent="0.3">
      <c r="A1079" s="71"/>
      <c r="B1079" s="63"/>
      <c r="C1079" s="63"/>
      <c r="D1079" s="63"/>
      <c r="E1079" s="63"/>
      <c r="F1079" s="63"/>
    </row>
    <row r="1080" spans="1:6" x14ac:dyDescent="0.3">
      <c r="A1080" s="71"/>
      <c r="B1080" s="63"/>
      <c r="C1080" s="63"/>
      <c r="D1080" s="63"/>
      <c r="E1080" s="63"/>
      <c r="F1080" s="63"/>
    </row>
    <row r="1081" spans="1:6" x14ac:dyDescent="0.3">
      <c r="A1081" s="71"/>
      <c r="B1081" s="63"/>
      <c r="C1081" s="63"/>
      <c r="D1081" s="63"/>
      <c r="E1081" s="63"/>
      <c r="F1081" s="63"/>
    </row>
    <row r="1082" spans="1:6" x14ac:dyDescent="0.3">
      <c r="A1082" s="71"/>
      <c r="B1082" s="63"/>
      <c r="C1082" s="63"/>
      <c r="D1082" s="63"/>
      <c r="E1082" s="63"/>
      <c r="F1082" s="63"/>
    </row>
    <row r="1083" spans="1:6" x14ac:dyDescent="0.3">
      <c r="A1083" s="71"/>
      <c r="B1083" s="63"/>
      <c r="C1083" s="63"/>
      <c r="D1083" s="63"/>
      <c r="E1083" s="63"/>
      <c r="F1083" s="63"/>
    </row>
    <row r="1084" spans="1:6" x14ac:dyDescent="0.3">
      <c r="A1084" s="71"/>
      <c r="B1084" s="63"/>
      <c r="C1084" s="63"/>
      <c r="D1084" s="63"/>
      <c r="E1084" s="63"/>
      <c r="F1084" s="63"/>
    </row>
    <row r="1085" spans="1:6" x14ac:dyDescent="0.3">
      <c r="A1085" s="71"/>
      <c r="B1085" s="63"/>
      <c r="C1085" s="63"/>
      <c r="D1085" s="63"/>
      <c r="E1085" s="63"/>
      <c r="F1085" s="63"/>
    </row>
    <row r="1086" spans="1:6" x14ac:dyDescent="0.3">
      <c r="A1086" s="71"/>
      <c r="B1086" s="63"/>
      <c r="C1086" s="63"/>
      <c r="D1086" s="63"/>
      <c r="E1086" s="63"/>
      <c r="F1086" s="63"/>
    </row>
    <row r="1087" spans="1:6" x14ac:dyDescent="0.3">
      <c r="A1087" s="71"/>
      <c r="B1087" s="63"/>
      <c r="C1087" s="63"/>
      <c r="D1087" s="63"/>
      <c r="E1087" s="63"/>
      <c r="F1087" s="63"/>
    </row>
    <row r="1088" spans="1:6" x14ac:dyDescent="0.3">
      <c r="A1088" s="71"/>
      <c r="B1088" s="63"/>
      <c r="C1088" s="63"/>
      <c r="D1088" s="63"/>
      <c r="E1088" s="63"/>
      <c r="F1088" s="63"/>
    </row>
    <row r="1089" spans="1:6" x14ac:dyDescent="0.3">
      <c r="A1089" s="71"/>
      <c r="B1089" s="63"/>
      <c r="C1089" s="63"/>
      <c r="D1089" s="63"/>
      <c r="E1089" s="63"/>
      <c r="F1089" s="63"/>
    </row>
    <row r="1090" spans="1:6" x14ac:dyDescent="0.3">
      <c r="A1090" s="71"/>
      <c r="B1090" s="63"/>
      <c r="C1090" s="63"/>
      <c r="D1090" s="63"/>
      <c r="E1090" s="63"/>
      <c r="F1090" s="63"/>
    </row>
    <row r="1091" spans="1:6" x14ac:dyDescent="0.3">
      <c r="A1091" s="71"/>
      <c r="B1091" s="63"/>
      <c r="C1091" s="63"/>
      <c r="D1091" s="63"/>
      <c r="E1091" s="63"/>
      <c r="F1091" s="63"/>
    </row>
    <row r="1092" spans="1:6" x14ac:dyDescent="0.3">
      <c r="A1092" s="71"/>
      <c r="B1092" s="63"/>
      <c r="C1092" s="63"/>
      <c r="D1092" s="63"/>
      <c r="E1092" s="63"/>
      <c r="F1092" s="63"/>
    </row>
    <row r="1093" spans="1:6" x14ac:dyDescent="0.3">
      <c r="A1093" s="71"/>
      <c r="B1093" s="63"/>
      <c r="C1093" s="63"/>
      <c r="D1093" s="63"/>
      <c r="E1093" s="63"/>
      <c r="F1093" s="63"/>
    </row>
    <row r="1094" spans="1:6" x14ac:dyDescent="0.3">
      <c r="A1094" s="71"/>
      <c r="B1094" s="63"/>
      <c r="C1094" s="63"/>
      <c r="D1094" s="63"/>
      <c r="E1094" s="63"/>
      <c r="F1094" s="63"/>
    </row>
    <row r="1095" spans="1:6" x14ac:dyDescent="0.3">
      <c r="A1095" s="71"/>
      <c r="B1095" s="63"/>
      <c r="C1095" s="63"/>
      <c r="D1095" s="63"/>
      <c r="E1095" s="63"/>
      <c r="F1095" s="63"/>
    </row>
    <row r="1096" spans="1:6" x14ac:dyDescent="0.3">
      <c r="A1096" s="71"/>
      <c r="B1096" s="63"/>
      <c r="C1096" s="63"/>
      <c r="D1096" s="63"/>
      <c r="E1096" s="63"/>
      <c r="F1096" s="63"/>
    </row>
    <row r="1097" spans="1:6" x14ac:dyDescent="0.3">
      <c r="A1097" s="71"/>
      <c r="B1097" s="63"/>
      <c r="C1097" s="63"/>
      <c r="D1097" s="63"/>
      <c r="E1097" s="63"/>
      <c r="F1097" s="63"/>
    </row>
    <row r="1098" spans="1:6" x14ac:dyDescent="0.3">
      <c r="A1098" s="71"/>
      <c r="B1098" s="63"/>
      <c r="C1098" s="63"/>
      <c r="D1098" s="63"/>
      <c r="E1098" s="63"/>
      <c r="F1098" s="63"/>
    </row>
    <row r="1099" spans="1:6" x14ac:dyDescent="0.3">
      <c r="A1099" s="71"/>
      <c r="B1099" s="63"/>
      <c r="C1099" s="63"/>
      <c r="D1099" s="63"/>
      <c r="E1099" s="63"/>
      <c r="F1099" s="63"/>
    </row>
    <row r="1100" spans="1:6" x14ac:dyDescent="0.3">
      <c r="A1100" s="71"/>
      <c r="B1100" s="63"/>
      <c r="C1100" s="63"/>
      <c r="D1100" s="63"/>
      <c r="E1100" s="63"/>
      <c r="F1100" s="63"/>
    </row>
    <row r="1101" spans="1:6" x14ac:dyDescent="0.3">
      <c r="A1101" s="71"/>
      <c r="B1101" s="63"/>
      <c r="C1101" s="63"/>
      <c r="D1101" s="63"/>
      <c r="E1101" s="63"/>
      <c r="F1101" s="63"/>
    </row>
    <row r="1102" spans="1:6" x14ac:dyDescent="0.3">
      <c r="A1102" s="71"/>
      <c r="B1102" s="63"/>
      <c r="C1102" s="63"/>
      <c r="D1102" s="63"/>
      <c r="E1102" s="63"/>
      <c r="F1102" s="63"/>
    </row>
    <row r="1103" spans="1:6" x14ac:dyDescent="0.3">
      <c r="A1103" s="71"/>
      <c r="B1103" s="63"/>
      <c r="C1103" s="63"/>
      <c r="D1103" s="63"/>
      <c r="E1103" s="63"/>
      <c r="F1103" s="63"/>
    </row>
    <row r="1104" spans="1:6" x14ac:dyDescent="0.3">
      <c r="A1104" s="71"/>
      <c r="B1104" s="63"/>
      <c r="C1104" s="63"/>
      <c r="D1104" s="63"/>
      <c r="E1104" s="63"/>
      <c r="F1104" s="63"/>
    </row>
    <row r="1105" spans="1:6" x14ac:dyDescent="0.3">
      <c r="A1105" s="71"/>
      <c r="B1105" s="63"/>
      <c r="C1105" s="63"/>
      <c r="D1105" s="63"/>
      <c r="E1105" s="63"/>
      <c r="F1105" s="63"/>
    </row>
    <row r="1106" spans="1:6" x14ac:dyDescent="0.3">
      <c r="A1106" s="71"/>
      <c r="B1106" s="63"/>
      <c r="C1106" s="63"/>
      <c r="D1106" s="63"/>
      <c r="E1106" s="63"/>
      <c r="F1106" s="63"/>
    </row>
    <row r="1107" spans="1:6" x14ac:dyDescent="0.3">
      <c r="A1107" s="71"/>
      <c r="B1107" s="63"/>
      <c r="C1107" s="63"/>
      <c r="D1107" s="63"/>
      <c r="E1107" s="63"/>
      <c r="F1107" s="63"/>
    </row>
    <row r="1108" spans="1:6" x14ac:dyDescent="0.3">
      <c r="A1108" s="71"/>
      <c r="B1108" s="63"/>
      <c r="C1108" s="63"/>
      <c r="D1108" s="63"/>
      <c r="E1108" s="63"/>
      <c r="F1108" s="63"/>
    </row>
    <row r="1109" spans="1:6" x14ac:dyDescent="0.3">
      <c r="A1109" s="71"/>
      <c r="B1109" s="63"/>
      <c r="C1109" s="63"/>
      <c r="D1109" s="63"/>
      <c r="E1109" s="63"/>
      <c r="F1109" s="63"/>
    </row>
    <row r="1110" spans="1:6" x14ac:dyDescent="0.3">
      <c r="A1110" s="71"/>
      <c r="B1110" s="63"/>
      <c r="C1110" s="63"/>
      <c r="D1110" s="63"/>
      <c r="E1110" s="63"/>
      <c r="F1110" s="63"/>
    </row>
    <row r="1111" spans="1:6" x14ac:dyDescent="0.3">
      <c r="A1111" s="71"/>
      <c r="B1111" s="63"/>
      <c r="C1111" s="63"/>
      <c r="D1111" s="63"/>
      <c r="E1111" s="63"/>
      <c r="F1111" s="63"/>
    </row>
    <row r="1112" spans="1:6" x14ac:dyDescent="0.3">
      <c r="A1112" s="71"/>
      <c r="B1112" s="63"/>
      <c r="C1112" s="63"/>
      <c r="D1112" s="63"/>
      <c r="E1112" s="63"/>
      <c r="F1112" s="63"/>
    </row>
    <row r="1113" spans="1:6" x14ac:dyDescent="0.3">
      <c r="A1113" s="71"/>
      <c r="B1113" s="63"/>
      <c r="C1113" s="63"/>
      <c r="D1113" s="63"/>
      <c r="E1113" s="63"/>
      <c r="F1113" s="63"/>
    </row>
    <row r="1114" spans="1:6" x14ac:dyDescent="0.3">
      <c r="A1114" s="71"/>
      <c r="B1114" s="63"/>
      <c r="C1114" s="63"/>
      <c r="D1114" s="63"/>
      <c r="E1114" s="63"/>
      <c r="F1114" s="63"/>
    </row>
    <row r="1115" spans="1:6" x14ac:dyDescent="0.3">
      <c r="A1115" s="71"/>
      <c r="B1115" s="63"/>
      <c r="C1115" s="63"/>
      <c r="D1115" s="63"/>
      <c r="E1115" s="63"/>
      <c r="F1115" s="63"/>
    </row>
    <row r="1116" spans="1:6" x14ac:dyDescent="0.3">
      <c r="A1116" s="71"/>
      <c r="B1116" s="63"/>
      <c r="C1116" s="63"/>
      <c r="D1116" s="63"/>
      <c r="E1116" s="63"/>
      <c r="F1116" s="63"/>
    </row>
    <row r="1117" spans="1:6" x14ac:dyDescent="0.3">
      <c r="A1117" s="71"/>
      <c r="B1117" s="63"/>
      <c r="C1117" s="63"/>
      <c r="D1117" s="63"/>
      <c r="E1117" s="63"/>
      <c r="F1117" s="63"/>
    </row>
    <row r="1118" spans="1:6" x14ac:dyDescent="0.3">
      <c r="A1118" s="71"/>
      <c r="B1118" s="63"/>
      <c r="C1118" s="63"/>
      <c r="D1118" s="63"/>
      <c r="E1118" s="63"/>
      <c r="F1118" s="63"/>
    </row>
    <row r="1119" spans="1:6" x14ac:dyDescent="0.3">
      <c r="A1119" s="71"/>
      <c r="B1119" s="63"/>
      <c r="C1119" s="63"/>
      <c r="D1119" s="63"/>
      <c r="E1119" s="63"/>
      <c r="F1119" s="63"/>
    </row>
    <row r="1120" spans="1:6" x14ac:dyDescent="0.3">
      <c r="A1120" s="71"/>
      <c r="B1120" s="63"/>
      <c r="C1120" s="63"/>
      <c r="D1120" s="63"/>
      <c r="E1120" s="63"/>
      <c r="F1120" s="63"/>
    </row>
    <row r="1121" spans="1:6" x14ac:dyDescent="0.3">
      <c r="A1121" s="71"/>
      <c r="B1121" s="63"/>
      <c r="C1121" s="63"/>
      <c r="D1121" s="63"/>
      <c r="E1121" s="63"/>
      <c r="F1121" s="63"/>
    </row>
    <row r="1122" spans="1:6" x14ac:dyDescent="0.3">
      <c r="A1122" s="71"/>
      <c r="B1122" s="63"/>
      <c r="C1122" s="63"/>
      <c r="D1122" s="63"/>
      <c r="E1122" s="63"/>
      <c r="F1122" s="63"/>
    </row>
    <row r="1123" spans="1:6" x14ac:dyDescent="0.3">
      <c r="A1123" s="71"/>
      <c r="B1123" s="63"/>
      <c r="C1123" s="63"/>
      <c r="D1123" s="63"/>
      <c r="E1123" s="63"/>
      <c r="F1123" s="63"/>
    </row>
    <row r="1124" spans="1:6" x14ac:dyDescent="0.3">
      <c r="A1124" s="71"/>
      <c r="B1124" s="63"/>
      <c r="C1124" s="63"/>
      <c r="D1124" s="63"/>
      <c r="E1124" s="63"/>
      <c r="F1124" s="63"/>
    </row>
    <row r="1125" spans="1:6" x14ac:dyDescent="0.3">
      <c r="A1125" s="71"/>
      <c r="B1125" s="63"/>
      <c r="C1125" s="63"/>
      <c r="D1125" s="63"/>
      <c r="E1125" s="63"/>
      <c r="F1125" s="63"/>
    </row>
    <row r="1126" spans="1:6" x14ac:dyDescent="0.3">
      <c r="A1126" s="71"/>
      <c r="B1126" s="63"/>
      <c r="C1126" s="63"/>
      <c r="D1126" s="63"/>
      <c r="E1126" s="63"/>
      <c r="F1126" s="63"/>
    </row>
    <row r="1127" spans="1:6" x14ac:dyDescent="0.3">
      <c r="A1127" s="71"/>
      <c r="B1127" s="63"/>
      <c r="C1127" s="63"/>
      <c r="D1127" s="63"/>
      <c r="E1127" s="63"/>
      <c r="F1127" s="63"/>
    </row>
    <row r="1128" spans="1:6" x14ac:dyDescent="0.3">
      <c r="A1128" s="71"/>
      <c r="B1128" s="63"/>
      <c r="C1128" s="63"/>
      <c r="D1128" s="63"/>
      <c r="E1128" s="63"/>
      <c r="F1128" s="63"/>
    </row>
    <row r="1129" spans="1:6" x14ac:dyDescent="0.3">
      <c r="A1129" s="71"/>
      <c r="B1129" s="63"/>
      <c r="C1129" s="63"/>
      <c r="D1129" s="63"/>
      <c r="E1129" s="63"/>
      <c r="F1129" s="63"/>
    </row>
    <row r="1130" spans="1:6" x14ac:dyDescent="0.3">
      <c r="A1130" s="71"/>
      <c r="B1130" s="63"/>
      <c r="C1130" s="63"/>
      <c r="D1130" s="63"/>
      <c r="E1130" s="63"/>
      <c r="F1130" s="63"/>
    </row>
    <row r="1131" spans="1:6" x14ac:dyDescent="0.3">
      <c r="A1131" s="71"/>
      <c r="B1131" s="63"/>
      <c r="C1131" s="63"/>
      <c r="D1131" s="63"/>
      <c r="E1131" s="63"/>
      <c r="F1131" s="63"/>
    </row>
    <row r="1132" spans="1:6" x14ac:dyDescent="0.3">
      <c r="A1132" s="71"/>
      <c r="B1132" s="63"/>
      <c r="C1132" s="63"/>
      <c r="D1132" s="63"/>
      <c r="E1132" s="63"/>
      <c r="F1132" s="63"/>
    </row>
    <row r="1133" spans="1:6" x14ac:dyDescent="0.3">
      <c r="A1133" s="71"/>
      <c r="B1133" s="63"/>
      <c r="C1133" s="63"/>
      <c r="D1133" s="63"/>
      <c r="E1133" s="63"/>
      <c r="F1133" s="63"/>
    </row>
    <row r="1134" spans="1:6" x14ac:dyDescent="0.3">
      <c r="A1134" s="71"/>
      <c r="B1134" s="63"/>
      <c r="C1134" s="63"/>
      <c r="D1134" s="63"/>
      <c r="E1134" s="63"/>
      <c r="F1134" s="63"/>
    </row>
    <row r="1135" spans="1:6" x14ac:dyDescent="0.3">
      <c r="A1135" s="71"/>
      <c r="B1135" s="63"/>
      <c r="C1135" s="63"/>
      <c r="D1135" s="63"/>
      <c r="E1135" s="63"/>
      <c r="F1135" s="63"/>
    </row>
    <row r="1136" spans="1:6" x14ac:dyDescent="0.3">
      <c r="A1136" s="71"/>
      <c r="B1136" s="63"/>
      <c r="C1136" s="63"/>
      <c r="D1136" s="63"/>
      <c r="E1136" s="63"/>
      <c r="F1136" s="63"/>
    </row>
    <row r="1137" spans="1:6" x14ac:dyDescent="0.3">
      <c r="A1137" s="71"/>
      <c r="B1137" s="63"/>
      <c r="C1137" s="63"/>
      <c r="D1137" s="63"/>
      <c r="E1137" s="63"/>
      <c r="F1137" s="63"/>
    </row>
    <row r="1138" spans="1:6" x14ac:dyDescent="0.3">
      <c r="A1138" s="71"/>
      <c r="B1138" s="63"/>
      <c r="C1138" s="63"/>
      <c r="D1138" s="63"/>
      <c r="E1138" s="63"/>
      <c r="F1138" s="63"/>
    </row>
    <row r="1139" spans="1:6" x14ac:dyDescent="0.3">
      <c r="A1139" s="71"/>
      <c r="B1139" s="63"/>
      <c r="C1139" s="63"/>
      <c r="D1139" s="63"/>
      <c r="E1139" s="63"/>
      <c r="F1139" s="63"/>
    </row>
    <row r="1140" spans="1:6" x14ac:dyDescent="0.3">
      <c r="A1140" s="71"/>
      <c r="B1140" s="63"/>
      <c r="C1140" s="63"/>
      <c r="D1140" s="63"/>
      <c r="E1140" s="63"/>
      <c r="F1140" s="63"/>
    </row>
    <row r="1141" spans="1:6" x14ac:dyDescent="0.3">
      <c r="A1141" s="71"/>
      <c r="B1141" s="63"/>
      <c r="C1141" s="63"/>
      <c r="D1141" s="63"/>
      <c r="E1141" s="63"/>
      <c r="F1141" s="63"/>
    </row>
    <row r="1142" spans="1:6" x14ac:dyDescent="0.3">
      <c r="A1142" s="71"/>
      <c r="B1142" s="63"/>
      <c r="C1142" s="63"/>
      <c r="D1142" s="63"/>
      <c r="E1142" s="63"/>
      <c r="F1142" s="63"/>
    </row>
    <row r="1143" spans="1:6" x14ac:dyDescent="0.3">
      <c r="A1143" s="71"/>
      <c r="B1143" s="63"/>
      <c r="C1143" s="63"/>
      <c r="D1143" s="63"/>
      <c r="E1143" s="63"/>
      <c r="F1143" s="63"/>
    </row>
    <row r="1144" spans="1:6" x14ac:dyDescent="0.3">
      <c r="A1144" s="71"/>
      <c r="B1144" s="63"/>
      <c r="C1144" s="63"/>
      <c r="D1144" s="63"/>
      <c r="E1144" s="63"/>
      <c r="F1144" s="63"/>
    </row>
    <row r="1145" spans="1:6" x14ac:dyDescent="0.3">
      <c r="A1145" s="71"/>
      <c r="B1145" s="63"/>
      <c r="C1145" s="63"/>
      <c r="D1145" s="63"/>
      <c r="E1145" s="63"/>
      <c r="F1145" s="63"/>
    </row>
    <row r="1146" spans="1:6" x14ac:dyDescent="0.3">
      <c r="A1146" s="71"/>
      <c r="B1146" s="63"/>
      <c r="C1146" s="63"/>
      <c r="D1146" s="63"/>
      <c r="E1146" s="63"/>
      <c r="F1146" s="63"/>
    </row>
    <row r="1147" spans="1:6" x14ac:dyDescent="0.3">
      <c r="A1147" s="71"/>
      <c r="B1147" s="63"/>
      <c r="C1147" s="63"/>
      <c r="D1147" s="63"/>
      <c r="E1147" s="63"/>
      <c r="F1147" s="63"/>
    </row>
    <row r="1148" spans="1:6" x14ac:dyDescent="0.3">
      <c r="A1148" s="71"/>
      <c r="B1148" s="63"/>
      <c r="C1148" s="63"/>
      <c r="D1148" s="63"/>
      <c r="E1148" s="63"/>
      <c r="F1148" s="63"/>
    </row>
    <row r="1149" spans="1:6" x14ac:dyDescent="0.3">
      <c r="A1149" s="71"/>
      <c r="B1149" s="63"/>
      <c r="C1149" s="63"/>
      <c r="D1149" s="63"/>
      <c r="E1149" s="63"/>
      <c r="F1149" s="63"/>
    </row>
    <row r="1150" spans="1:6" x14ac:dyDescent="0.3">
      <c r="A1150" s="71"/>
      <c r="B1150" s="63"/>
      <c r="C1150" s="63"/>
      <c r="D1150" s="63"/>
      <c r="E1150" s="63"/>
      <c r="F1150" s="63"/>
    </row>
    <row r="1151" spans="1:6" x14ac:dyDescent="0.3">
      <c r="A1151" s="71"/>
      <c r="B1151" s="63"/>
      <c r="C1151" s="63"/>
      <c r="D1151" s="63"/>
      <c r="E1151" s="63"/>
      <c r="F1151" s="63"/>
    </row>
    <row r="1152" spans="1:6" x14ac:dyDescent="0.3">
      <c r="A1152" s="71"/>
      <c r="B1152" s="63"/>
      <c r="C1152" s="63"/>
      <c r="D1152" s="63"/>
      <c r="E1152" s="63"/>
      <c r="F1152" s="63"/>
    </row>
    <row r="1153" spans="1:6" x14ac:dyDescent="0.3">
      <c r="A1153" s="71"/>
      <c r="B1153" s="63"/>
      <c r="C1153" s="63"/>
      <c r="D1153" s="63"/>
      <c r="E1153" s="63"/>
      <c r="F1153" s="63"/>
    </row>
    <row r="1154" spans="1:6" x14ac:dyDescent="0.3">
      <c r="A1154" s="71"/>
      <c r="B1154" s="63"/>
      <c r="C1154" s="63"/>
      <c r="D1154" s="63"/>
      <c r="E1154" s="63"/>
      <c r="F1154" s="63"/>
    </row>
    <row r="1155" spans="1:6" x14ac:dyDescent="0.3">
      <c r="A1155" s="71"/>
      <c r="B1155" s="63"/>
      <c r="C1155" s="63"/>
      <c r="D1155" s="63"/>
      <c r="E1155" s="63"/>
      <c r="F1155" s="63"/>
    </row>
    <row r="1156" spans="1:6" x14ac:dyDescent="0.3">
      <c r="A1156" s="71"/>
      <c r="B1156" s="63"/>
      <c r="C1156" s="63"/>
      <c r="D1156" s="63"/>
      <c r="E1156" s="63"/>
      <c r="F1156" s="63"/>
    </row>
    <row r="1157" spans="1:6" x14ac:dyDescent="0.3">
      <c r="A1157" s="71"/>
      <c r="B1157" s="63"/>
      <c r="C1157" s="63"/>
      <c r="D1157" s="63"/>
      <c r="E1157" s="63"/>
      <c r="F1157" s="63"/>
    </row>
    <row r="1158" spans="1:6" x14ac:dyDescent="0.3">
      <c r="A1158" s="71"/>
      <c r="B1158" s="63"/>
      <c r="C1158" s="63"/>
      <c r="D1158" s="63"/>
      <c r="E1158" s="63"/>
      <c r="F1158" s="63"/>
    </row>
    <row r="1159" spans="1:6" x14ac:dyDescent="0.3">
      <c r="A1159" s="71"/>
      <c r="B1159" s="63"/>
      <c r="C1159" s="63"/>
      <c r="D1159" s="63"/>
      <c r="E1159" s="63"/>
      <c r="F1159" s="63"/>
    </row>
    <row r="1160" spans="1:6" x14ac:dyDescent="0.3">
      <c r="A1160" s="71"/>
      <c r="B1160" s="63"/>
      <c r="C1160" s="63"/>
      <c r="D1160" s="63"/>
      <c r="E1160" s="63"/>
      <c r="F1160" s="63"/>
    </row>
    <row r="1161" spans="1:6" x14ac:dyDescent="0.3">
      <c r="A1161" s="71"/>
      <c r="B1161" s="63"/>
      <c r="C1161" s="63"/>
      <c r="D1161" s="63"/>
      <c r="E1161" s="63"/>
      <c r="F1161" s="63"/>
    </row>
    <row r="1162" spans="1:6" x14ac:dyDescent="0.3">
      <c r="A1162" s="71"/>
      <c r="B1162" s="63"/>
      <c r="C1162" s="63"/>
      <c r="D1162" s="63"/>
      <c r="E1162" s="63"/>
      <c r="F1162" s="63"/>
    </row>
    <row r="1163" spans="1:6" x14ac:dyDescent="0.3">
      <c r="A1163" s="71"/>
      <c r="B1163" s="63"/>
      <c r="C1163" s="63"/>
      <c r="D1163" s="63"/>
      <c r="E1163" s="63"/>
      <c r="F1163" s="63"/>
    </row>
    <row r="1164" spans="1:6" x14ac:dyDescent="0.3">
      <c r="A1164" s="71"/>
      <c r="B1164" s="63"/>
      <c r="C1164" s="63"/>
      <c r="D1164" s="63"/>
      <c r="E1164" s="63"/>
      <c r="F1164" s="63"/>
    </row>
    <row r="1165" spans="1:6" x14ac:dyDescent="0.3">
      <c r="A1165" s="71"/>
      <c r="B1165" s="63"/>
      <c r="C1165" s="63"/>
      <c r="D1165" s="63"/>
      <c r="E1165" s="63"/>
      <c r="F1165" s="63"/>
    </row>
    <row r="1166" spans="1:6" x14ac:dyDescent="0.3">
      <c r="A1166" s="71"/>
      <c r="B1166" s="63"/>
      <c r="C1166" s="63"/>
      <c r="D1166" s="63"/>
      <c r="E1166" s="63"/>
      <c r="F1166" s="63"/>
    </row>
    <row r="1167" spans="1:6" x14ac:dyDescent="0.3">
      <c r="A1167" s="71"/>
      <c r="B1167" s="63"/>
      <c r="C1167" s="63"/>
      <c r="D1167" s="63"/>
      <c r="E1167" s="63"/>
      <c r="F1167" s="63"/>
    </row>
    <row r="1168" spans="1:6" x14ac:dyDescent="0.3">
      <c r="A1168" s="71"/>
      <c r="B1168" s="63"/>
      <c r="C1168" s="63"/>
      <c r="D1168" s="63"/>
      <c r="E1168" s="63"/>
      <c r="F1168" s="63"/>
    </row>
    <row r="1169" spans="1:6" x14ac:dyDescent="0.3">
      <c r="A1169" s="71"/>
      <c r="B1169" s="63"/>
      <c r="C1169" s="63"/>
      <c r="D1169" s="63"/>
      <c r="E1169" s="63"/>
      <c r="F1169" s="63"/>
    </row>
    <row r="1170" spans="1:6" x14ac:dyDescent="0.3">
      <c r="A1170" s="71"/>
      <c r="B1170" s="63"/>
      <c r="C1170" s="63"/>
      <c r="D1170" s="63"/>
      <c r="E1170" s="63"/>
      <c r="F1170" s="63"/>
    </row>
    <row r="1171" spans="1:6" x14ac:dyDescent="0.3">
      <c r="A1171" s="71"/>
      <c r="B1171" s="63"/>
      <c r="C1171" s="63"/>
      <c r="D1171" s="63"/>
      <c r="E1171" s="63"/>
      <c r="F1171" s="63"/>
    </row>
    <row r="1172" spans="1:6" x14ac:dyDescent="0.3">
      <c r="A1172" s="71"/>
      <c r="B1172" s="63"/>
      <c r="C1172" s="63"/>
      <c r="D1172" s="63"/>
      <c r="E1172" s="63"/>
      <c r="F1172" s="63"/>
    </row>
    <row r="1173" spans="1:6" x14ac:dyDescent="0.3">
      <c r="A1173" s="71"/>
      <c r="B1173" s="63"/>
      <c r="C1173" s="63"/>
      <c r="D1173" s="63"/>
      <c r="E1173" s="63"/>
      <c r="F1173" s="63"/>
    </row>
    <row r="1174" spans="1:6" x14ac:dyDescent="0.3">
      <c r="A1174" s="71"/>
      <c r="B1174" s="63"/>
      <c r="C1174" s="63"/>
      <c r="D1174" s="63"/>
      <c r="E1174" s="63"/>
      <c r="F1174" s="63"/>
    </row>
    <row r="1175" spans="1:6" x14ac:dyDescent="0.3">
      <c r="A1175" s="71"/>
      <c r="B1175" s="63"/>
      <c r="C1175" s="63"/>
      <c r="D1175" s="63"/>
      <c r="E1175" s="63"/>
      <c r="F1175" s="63"/>
    </row>
    <row r="1176" spans="1:6" x14ac:dyDescent="0.3">
      <c r="A1176" s="71"/>
      <c r="B1176" s="63"/>
      <c r="C1176" s="63"/>
      <c r="D1176" s="63"/>
      <c r="E1176" s="63"/>
      <c r="F1176" s="63"/>
    </row>
    <row r="1177" spans="1:6" x14ac:dyDescent="0.3">
      <c r="A1177" s="71"/>
      <c r="B1177" s="63"/>
      <c r="C1177" s="63"/>
      <c r="D1177" s="63"/>
      <c r="E1177" s="63"/>
      <c r="F1177" s="63"/>
    </row>
    <row r="1178" spans="1:6" x14ac:dyDescent="0.3">
      <c r="A1178" s="71"/>
      <c r="B1178" s="63"/>
      <c r="C1178" s="63"/>
      <c r="D1178" s="63"/>
      <c r="E1178" s="63"/>
      <c r="F1178" s="63"/>
    </row>
    <row r="1179" spans="1:6" x14ac:dyDescent="0.3">
      <c r="A1179" s="71"/>
      <c r="B1179" s="63"/>
      <c r="C1179" s="63"/>
      <c r="D1179" s="63"/>
      <c r="E1179" s="63"/>
      <c r="F1179" s="63"/>
    </row>
    <row r="1180" spans="1:6" x14ac:dyDescent="0.3">
      <c r="A1180" s="71"/>
      <c r="B1180" s="63"/>
      <c r="C1180" s="63"/>
      <c r="D1180" s="63"/>
      <c r="E1180" s="63"/>
      <c r="F1180" s="63"/>
    </row>
    <row r="1181" spans="1:6" x14ac:dyDescent="0.3">
      <c r="A1181" s="71"/>
      <c r="B1181" s="63"/>
      <c r="C1181" s="63"/>
      <c r="D1181" s="63"/>
      <c r="E1181" s="63"/>
      <c r="F1181" s="63"/>
    </row>
    <row r="1182" spans="1:6" x14ac:dyDescent="0.3">
      <c r="A1182" s="71"/>
      <c r="B1182" s="63"/>
      <c r="C1182" s="63"/>
      <c r="D1182" s="63"/>
      <c r="E1182" s="63"/>
      <c r="F1182" s="63"/>
    </row>
    <row r="1183" spans="1:6" x14ac:dyDescent="0.3">
      <c r="A1183" s="71"/>
      <c r="B1183" s="63"/>
      <c r="C1183" s="63"/>
      <c r="D1183" s="63"/>
      <c r="E1183" s="63"/>
      <c r="F1183" s="63"/>
    </row>
    <row r="1184" spans="1:6" x14ac:dyDescent="0.3">
      <c r="A1184" s="71"/>
      <c r="B1184" s="63"/>
      <c r="C1184" s="63"/>
      <c r="D1184" s="63"/>
      <c r="E1184" s="63"/>
      <c r="F1184" s="63"/>
    </row>
    <row r="1185" spans="1:6" x14ac:dyDescent="0.3">
      <c r="A1185" s="71"/>
      <c r="B1185" s="63"/>
      <c r="C1185" s="63"/>
      <c r="D1185" s="63"/>
      <c r="E1185" s="63"/>
      <c r="F1185" s="63"/>
    </row>
    <row r="1186" spans="1:6" x14ac:dyDescent="0.3">
      <c r="A1186" s="71"/>
      <c r="B1186" s="63"/>
      <c r="C1186" s="63"/>
      <c r="D1186" s="63"/>
      <c r="E1186" s="63"/>
      <c r="F1186" s="63"/>
    </row>
    <row r="1187" spans="1:6" x14ac:dyDescent="0.3">
      <c r="A1187" s="71"/>
      <c r="B1187" s="63"/>
      <c r="C1187" s="63"/>
      <c r="D1187" s="63"/>
      <c r="E1187" s="63"/>
      <c r="F1187" s="63"/>
    </row>
    <row r="1188" spans="1:6" x14ac:dyDescent="0.3">
      <c r="A1188" s="71"/>
      <c r="B1188" s="63"/>
      <c r="C1188" s="63"/>
      <c r="D1188" s="63"/>
      <c r="E1188" s="63"/>
      <c r="F1188" s="63"/>
    </row>
    <row r="1189" spans="1:6" x14ac:dyDescent="0.3">
      <c r="A1189" s="71"/>
      <c r="B1189" s="63"/>
      <c r="C1189" s="63"/>
      <c r="D1189" s="63"/>
      <c r="E1189" s="63"/>
      <c r="F1189" s="63"/>
    </row>
    <row r="1190" spans="1:6" x14ac:dyDescent="0.3">
      <c r="A1190" s="71"/>
      <c r="B1190" s="63"/>
      <c r="C1190" s="63"/>
      <c r="D1190" s="63"/>
      <c r="E1190" s="63"/>
      <c r="F1190" s="63"/>
    </row>
    <row r="1191" spans="1:6" x14ac:dyDescent="0.3">
      <c r="A1191" s="71"/>
      <c r="B1191" s="63"/>
      <c r="C1191" s="63"/>
      <c r="D1191" s="63"/>
      <c r="E1191" s="63"/>
      <c r="F1191" s="63"/>
    </row>
    <row r="1192" spans="1:6" x14ac:dyDescent="0.3">
      <c r="A1192" s="71"/>
      <c r="B1192" s="63"/>
      <c r="C1192" s="63"/>
      <c r="D1192" s="63"/>
      <c r="E1192" s="63"/>
      <c r="F1192" s="63"/>
    </row>
    <row r="1193" spans="1:6" x14ac:dyDescent="0.3">
      <c r="A1193" s="71"/>
      <c r="B1193" s="63"/>
      <c r="C1193" s="63"/>
      <c r="D1193" s="63"/>
      <c r="E1193" s="63"/>
      <c r="F1193" s="63"/>
    </row>
    <row r="1194" spans="1:6" x14ac:dyDescent="0.3">
      <c r="A1194" s="71"/>
      <c r="B1194" s="63"/>
      <c r="C1194" s="63"/>
      <c r="D1194" s="63"/>
      <c r="E1194" s="63"/>
      <c r="F1194" s="63"/>
    </row>
    <row r="1195" spans="1:6" x14ac:dyDescent="0.3">
      <c r="A1195" s="71"/>
      <c r="B1195" s="63"/>
      <c r="C1195" s="63"/>
      <c r="D1195" s="63"/>
      <c r="E1195" s="63"/>
      <c r="F1195" s="63"/>
    </row>
    <row r="1196" spans="1:6" x14ac:dyDescent="0.3">
      <c r="A1196" s="71"/>
      <c r="B1196" s="63"/>
      <c r="C1196" s="63"/>
      <c r="D1196" s="63"/>
      <c r="E1196" s="63"/>
      <c r="F1196" s="63"/>
    </row>
    <row r="1197" spans="1:6" x14ac:dyDescent="0.3">
      <c r="A1197" s="71"/>
      <c r="B1197" s="63"/>
      <c r="C1197" s="63"/>
      <c r="D1197" s="63"/>
      <c r="E1197" s="63"/>
      <c r="F1197" s="63"/>
    </row>
    <row r="1198" spans="1:6" x14ac:dyDescent="0.3">
      <c r="A1198" s="71"/>
      <c r="B1198" s="63"/>
      <c r="C1198" s="63"/>
      <c r="D1198" s="63"/>
      <c r="E1198" s="63"/>
      <c r="F1198" s="63"/>
    </row>
    <row r="1199" spans="1:6" x14ac:dyDescent="0.3">
      <c r="A1199" s="71"/>
      <c r="B1199" s="63"/>
      <c r="C1199" s="63"/>
      <c r="D1199" s="63"/>
      <c r="E1199" s="63"/>
      <c r="F1199" s="63"/>
    </row>
    <row r="1200" spans="1:6" x14ac:dyDescent="0.3">
      <c r="A1200" s="71"/>
      <c r="B1200" s="63"/>
      <c r="C1200" s="63"/>
      <c r="D1200" s="63"/>
      <c r="E1200" s="63"/>
      <c r="F1200" s="63"/>
    </row>
    <row r="1201" spans="1:6" x14ac:dyDescent="0.3">
      <c r="A1201" s="71"/>
      <c r="B1201" s="63"/>
      <c r="C1201" s="63"/>
      <c r="D1201" s="63"/>
      <c r="E1201" s="63"/>
      <c r="F1201" s="63"/>
    </row>
    <row r="1202" spans="1:6" x14ac:dyDescent="0.3">
      <c r="A1202" s="71"/>
      <c r="B1202" s="63"/>
      <c r="C1202" s="63"/>
      <c r="D1202" s="63"/>
      <c r="E1202" s="63"/>
      <c r="F1202" s="63"/>
    </row>
    <row r="1203" spans="1:6" x14ac:dyDescent="0.3">
      <c r="A1203" s="71"/>
      <c r="B1203" s="63"/>
      <c r="C1203" s="63"/>
      <c r="D1203" s="63"/>
      <c r="E1203" s="63"/>
      <c r="F1203" s="63"/>
    </row>
    <row r="1204" spans="1:6" x14ac:dyDescent="0.3">
      <c r="A1204" s="71"/>
      <c r="B1204" s="63"/>
      <c r="C1204" s="63"/>
      <c r="D1204" s="63"/>
      <c r="E1204" s="63"/>
      <c r="F1204" s="63"/>
    </row>
    <row r="1205" spans="1:6" x14ac:dyDescent="0.3">
      <c r="A1205" s="71"/>
      <c r="B1205" s="63"/>
      <c r="C1205" s="63"/>
      <c r="D1205" s="63"/>
      <c r="E1205" s="63"/>
      <c r="F1205" s="63"/>
    </row>
    <row r="1206" spans="1:6" x14ac:dyDescent="0.3">
      <c r="A1206" s="71"/>
      <c r="B1206" s="63"/>
      <c r="C1206" s="63"/>
      <c r="D1206" s="63"/>
      <c r="E1206" s="63"/>
      <c r="F1206" s="63"/>
    </row>
    <row r="1207" spans="1:6" x14ac:dyDescent="0.3">
      <c r="A1207" s="71"/>
      <c r="B1207" s="63"/>
      <c r="C1207" s="63"/>
      <c r="D1207" s="63"/>
      <c r="E1207" s="63"/>
      <c r="F1207" s="63"/>
    </row>
    <row r="1208" spans="1:6" x14ac:dyDescent="0.3">
      <c r="A1208" s="71"/>
      <c r="B1208" s="63"/>
      <c r="C1208" s="63"/>
      <c r="D1208" s="63"/>
      <c r="E1208" s="63"/>
      <c r="F1208" s="63"/>
    </row>
    <row r="1209" spans="1:6" x14ac:dyDescent="0.3">
      <c r="A1209" s="71"/>
      <c r="B1209" s="63"/>
      <c r="C1209" s="63"/>
      <c r="D1209" s="63"/>
      <c r="E1209" s="63"/>
      <c r="F1209" s="63"/>
    </row>
    <row r="1210" spans="1:6" x14ac:dyDescent="0.3">
      <c r="A1210" s="71"/>
      <c r="B1210" s="63"/>
      <c r="C1210" s="63"/>
      <c r="D1210" s="63"/>
      <c r="E1210" s="63"/>
      <c r="F1210" s="63"/>
    </row>
    <row r="1211" spans="1:6" x14ac:dyDescent="0.3">
      <c r="A1211" s="71"/>
      <c r="B1211" s="63"/>
      <c r="C1211" s="63"/>
      <c r="D1211" s="63"/>
      <c r="E1211" s="63"/>
      <c r="F1211" s="63"/>
    </row>
    <row r="1212" spans="1:6" x14ac:dyDescent="0.3">
      <c r="A1212" s="71"/>
      <c r="B1212" s="63"/>
      <c r="C1212" s="63"/>
      <c r="D1212" s="63"/>
      <c r="E1212" s="63"/>
      <c r="F1212" s="63"/>
    </row>
    <row r="1213" spans="1:6" x14ac:dyDescent="0.3">
      <c r="A1213" s="71"/>
      <c r="B1213" s="63"/>
      <c r="C1213" s="63"/>
      <c r="D1213" s="63"/>
      <c r="E1213" s="63"/>
      <c r="F1213" s="63"/>
    </row>
    <row r="1214" spans="1:6" x14ac:dyDescent="0.3">
      <c r="A1214" s="71"/>
      <c r="B1214" s="63"/>
      <c r="C1214" s="63"/>
      <c r="D1214" s="63"/>
      <c r="E1214" s="63"/>
      <c r="F1214" s="63"/>
    </row>
    <row r="1215" spans="1:6" x14ac:dyDescent="0.3">
      <c r="A1215" s="71"/>
      <c r="B1215" s="63"/>
      <c r="C1215" s="63"/>
      <c r="D1215" s="63"/>
      <c r="E1215" s="63"/>
      <c r="F1215" s="63"/>
    </row>
    <row r="1216" spans="1:6" x14ac:dyDescent="0.3">
      <c r="A1216" s="71"/>
      <c r="B1216" s="63"/>
      <c r="C1216" s="63"/>
      <c r="D1216" s="63"/>
      <c r="E1216" s="63"/>
      <c r="F1216" s="63"/>
    </row>
    <row r="1217" spans="1:6" x14ac:dyDescent="0.3">
      <c r="A1217" s="71"/>
      <c r="B1217" s="63"/>
      <c r="C1217" s="63"/>
      <c r="D1217" s="63"/>
      <c r="E1217" s="63"/>
      <c r="F1217" s="63"/>
    </row>
    <row r="1218" spans="1:6" x14ac:dyDescent="0.3">
      <c r="A1218" s="71"/>
      <c r="B1218" s="63"/>
      <c r="C1218" s="63"/>
      <c r="D1218" s="63"/>
      <c r="E1218" s="63"/>
      <c r="F1218" s="63"/>
    </row>
    <row r="1219" spans="1:6" x14ac:dyDescent="0.3">
      <c r="A1219" s="71"/>
      <c r="B1219" s="63"/>
      <c r="C1219" s="63"/>
      <c r="D1219" s="63"/>
      <c r="E1219" s="63"/>
      <c r="F1219" s="63"/>
    </row>
    <row r="1220" spans="1:6" x14ac:dyDescent="0.3">
      <c r="A1220" s="71"/>
      <c r="B1220" s="63"/>
      <c r="C1220" s="63"/>
      <c r="D1220" s="63"/>
      <c r="E1220" s="63"/>
      <c r="F1220" s="63"/>
    </row>
    <row r="1221" spans="1:6" x14ac:dyDescent="0.3">
      <c r="A1221" s="71"/>
      <c r="B1221" s="63"/>
      <c r="C1221" s="63"/>
      <c r="D1221" s="63"/>
      <c r="E1221" s="63"/>
      <c r="F1221" s="63"/>
    </row>
    <row r="1222" spans="1:6" x14ac:dyDescent="0.3">
      <c r="A1222" s="71"/>
      <c r="B1222" s="63"/>
      <c r="C1222" s="63"/>
      <c r="D1222" s="63"/>
      <c r="E1222" s="63"/>
      <c r="F1222" s="63"/>
    </row>
    <row r="1223" spans="1:6" x14ac:dyDescent="0.3">
      <c r="A1223" s="71"/>
      <c r="B1223" s="63"/>
      <c r="C1223" s="63"/>
      <c r="D1223" s="63"/>
      <c r="E1223" s="63"/>
      <c r="F1223" s="63"/>
    </row>
    <row r="1224" spans="1:6" x14ac:dyDescent="0.3">
      <c r="A1224" s="71"/>
      <c r="B1224" s="63"/>
      <c r="C1224" s="63"/>
      <c r="D1224" s="63"/>
      <c r="E1224" s="63"/>
      <c r="F1224" s="63"/>
    </row>
    <row r="1225" spans="1:6" x14ac:dyDescent="0.3">
      <c r="A1225" s="71"/>
      <c r="B1225" s="63"/>
      <c r="C1225" s="63"/>
      <c r="D1225" s="63"/>
      <c r="E1225" s="63"/>
      <c r="F1225" s="63"/>
    </row>
    <row r="1226" spans="1:6" x14ac:dyDescent="0.3">
      <c r="A1226" s="71"/>
      <c r="B1226" s="63"/>
      <c r="C1226" s="63"/>
      <c r="D1226" s="63"/>
      <c r="E1226" s="63"/>
      <c r="F1226" s="63"/>
    </row>
    <row r="1227" spans="1:6" x14ac:dyDescent="0.3">
      <c r="A1227" s="71"/>
      <c r="B1227" s="63"/>
      <c r="C1227" s="63"/>
      <c r="D1227" s="63"/>
      <c r="E1227" s="63"/>
      <c r="F1227" s="63"/>
    </row>
    <row r="1228" spans="1:6" x14ac:dyDescent="0.3">
      <c r="A1228" s="71"/>
      <c r="B1228" s="63"/>
      <c r="C1228" s="63"/>
      <c r="D1228" s="63"/>
      <c r="E1228" s="63"/>
      <c r="F1228" s="63"/>
    </row>
    <row r="1229" spans="1:6" x14ac:dyDescent="0.3">
      <c r="A1229" s="71"/>
      <c r="B1229" s="63"/>
      <c r="C1229" s="63"/>
      <c r="D1229" s="63"/>
      <c r="E1229" s="63"/>
      <c r="F1229" s="63"/>
    </row>
    <row r="1230" spans="1:6" x14ac:dyDescent="0.3">
      <c r="A1230" s="71"/>
      <c r="B1230" s="63"/>
      <c r="C1230" s="63"/>
      <c r="D1230" s="63"/>
      <c r="E1230" s="63"/>
      <c r="F1230" s="63"/>
    </row>
    <row r="1231" spans="1:6" x14ac:dyDescent="0.3">
      <c r="A1231" s="71"/>
      <c r="B1231" s="63"/>
      <c r="C1231" s="63"/>
      <c r="D1231" s="63"/>
      <c r="E1231" s="63"/>
      <c r="F1231" s="63"/>
    </row>
    <row r="1232" spans="1:6" x14ac:dyDescent="0.3">
      <c r="A1232" s="71"/>
      <c r="B1232" s="63"/>
      <c r="C1232" s="63"/>
      <c r="D1232" s="63"/>
      <c r="E1232" s="63"/>
      <c r="F1232" s="63"/>
    </row>
    <row r="1233" spans="1:6" x14ac:dyDescent="0.3">
      <c r="A1233" s="71"/>
      <c r="B1233" s="63"/>
      <c r="C1233" s="63"/>
      <c r="D1233" s="63"/>
      <c r="E1233" s="63"/>
      <c r="F1233" s="63"/>
    </row>
    <row r="1234" spans="1:6" x14ac:dyDescent="0.3">
      <c r="A1234" s="71"/>
      <c r="B1234" s="63"/>
      <c r="C1234" s="63"/>
      <c r="D1234" s="63"/>
      <c r="E1234" s="63"/>
      <c r="F1234" s="63"/>
    </row>
    <row r="1235" spans="1:6" x14ac:dyDescent="0.3">
      <c r="A1235" s="71"/>
      <c r="B1235" s="63"/>
      <c r="C1235" s="63"/>
      <c r="D1235" s="63"/>
      <c r="E1235" s="63"/>
      <c r="F1235" s="63"/>
    </row>
    <row r="1236" spans="1:6" x14ac:dyDescent="0.3">
      <c r="A1236" s="71"/>
      <c r="B1236" s="63"/>
      <c r="C1236" s="63"/>
      <c r="D1236" s="63"/>
      <c r="E1236" s="63"/>
      <c r="F1236" s="63"/>
    </row>
    <row r="1237" spans="1:6" x14ac:dyDescent="0.3">
      <c r="A1237" s="71"/>
      <c r="B1237" s="63"/>
      <c r="C1237" s="63"/>
      <c r="D1237" s="63"/>
      <c r="E1237" s="63"/>
      <c r="F1237" s="63"/>
    </row>
    <row r="1238" spans="1:6" x14ac:dyDescent="0.3">
      <c r="A1238" s="71"/>
      <c r="B1238" s="63"/>
      <c r="C1238" s="63"/>
      <c r="D1238" s="63"/>
      <c r="E1238" s="63"/>
      <c r="F1238" s="63"/>
    </row>
    <row r="1239" spans="1:6" x14ac:dyDescent="0.3">
      <c r="A1239" s="71"/>
      <c r="B1239" s="63"/>
      <c r="C1239" s="63"/>
      <c r="D1239" s="63"/>
      <c r="E1239" s="63"/>
      <c r="F1239" s="63"/>
    </row>
    <row r="1240" spans="1:6" x14ac:dyDescent="0.3">
      <c r="A1240" s="71"/>
      <c r="B1240" s="63"/>
      <c r="C1240" s="63"/>
      <c r="D1240" s="63"/>
      <c r="E1240" s="63"/>
      <c r="F1240" s="63"/>
    </row>
    <row r="1241" spans="1:6" x14ac:dyDescent="0.3">
      <c r="A1241" s="71"/>
      <c r="B1241" s="63"/>
      <c r="C1241" s="63"/>
      <c r="D1241" s="63"/>
      <c r="E1241" s="63"/>
      <c r="F1241" s="63"/>
    </row>
    <row r="1242" spans="1:6" x14ac:dyDescent="0.3">
      <c r="A1242" s="71"/>
      <c r="B1242" s="63"/>
      <c r="C1242" s="63"/>
      <c r="D1242" s="63"/>
      <c r="E1242" s="63"/>
      <c r="F1242" s="63"/>
    </row>
    <row r="1243" spans="1:6" x14ac:dyDescent="0.3">
      <c r="A1243" s="71"/>
      <c r="B1243" s="63"/>
      <c r="C1243" s="63"/>
      <c r="D1243" s="63"/>
      <c r="E1243" s="63"/>
      <c r="F1243" s="63"/>
    </row>
    <row r="1244" spans="1:6" x14ac:dyDescent="0.3">
      <c r="A1244" s="71"/>
      <c r="B1244" s="63"/>
      <c r="C1244" s="63"/>
      <c r="D1244" s="63"/>
      <c r="E1244" s="63"/>
      <c r="F1244" s="63"/>
    </row>
    <row r="1245" spans="1:6" x14ac:dyDescent="0.3">
      <c r="A1245" s="71"/>
      <c r="B1245" s="63"/>
      <c r="C1245" s="63"/>
      <c r="D1245" s="63"/>
      <c r="E1245" s="63"/>
      <c r="F1245" s="63"/>
    </row>
    <row r="1246" spans="1:6" x14ac:dyDescent="0.3">
      <c r="A1246" s="71"/>
      <c r="B1246" s="63"/>
      <c r="C1246" s="63"/>
      <c r="D1246" s="63"/>
      <c r="E1246" s="63"/>
      <c r="F1246" s="63"/>
    </row>
    <row r="1247" spans="1:6" x14ac:dyDescent="0.3">
      <c r="A1247" s="71"/>
      <c r="B1247" s="63"/>
      <c r="C1247" s="63"/>
      <c r="D1247" s="63"/>
      <c r="E1247" s="63"/>
      <c r="F1247" s="63"/>
    </row>
    <row r="1248" spans="1:6" x14ac:dyDescent="0.3">
      <c r="A1248" s="71"/>
      <c r="B1248" s="63"/>
      <c r="C1248" s="63"/>
      <c r="D1248" s="63"/>
      <c r="E1248" s="63"/>
      <c r="F1248" s="63"/>
    </row>
    <row r="1249" spans="1:6" x14ac:dyDescent="0.3">
      <c r="A1249" s="71"/>
      <c r="B1249" s="63"/>
      <c r="C1249" s="63"/>
      <c r="D1249" s="63"/>
      <c r="E1249" s="63"/>
      <c r="F1249" s="63"/>
    </row>
    <row r="1250" spans="1:6" x14ac:dyDescent="0.3">
      <c r="A1250" s="71"/>
      <c r="B1250" s="63"/>
      <c r="C1250" s="63"/>
      <c r="D1250" s="63"/>
      <c r="E1250" s="63"/>
      <c r="F1250" s="63"/>
    </row>
    <row r="1251" spans="1:6" x14ac:dyDescent="0.3">
      <c r="A1251" s="71"/>
      <c r="B1251" s="63"/>
      <c r="C1251" s="63"/>
      <c r="D1251" s="63"/>
      <c r="E1251" s="63"/>
      <c r="F1251" s="63"/>
    </row>
    <row r="1252" spans="1:6" x14ac:dyDescent="0.3">
      <c r="A1252" s="71"/>
      <c r="B1252" s="63"/>
      <c r="C1252" s="63"/>
      <c r="D1252" s="63"/>
      <c r="E1252" s="63"/>
      <c r="F1252" s="63"/>
    </row>
    <row r="1253" spans="1:6" x14ac:dyDescent="0.3">
      <c r="A1253" s="71"/>
      <c r="B1253" s="63"/>
      <c r="C1253" s="63"/>
      <c r="D1253" s="63"/>
      <c r="E1253" s="63"/>
      <c r="F1253" s="63"/>
    </row>
    <row r="1254" spans="1:6" x14ac:dyDescent="0.3">
      <c r="A1254" s="71"/>
      <c r="B1254" s="63"/>
      <c r="C1254" s="63"/>
      <c r="D1254" s="63"/>
      <c r="E1254" s="63"/>
      <c r="F1254" s="63"/>
    </row>
    <row r="1255" spans="1:6" x14ac:dyDescent="0.3">
      <c r="A1255" s="71"/>
      <c r="B1255" s="63"/>
      <c r="C1255" s="63"/>
      <c r="D1255" s="63"/>
      <c r="E1255" s="63"/>
      <c r="F1255" s="63"/>
    </row>
    <row r="1256" spans="1:6" x14ac:dyDescent="0.3">
      <c r="A1256" s="71"/>
      <c r="B1256" s="63"/>
      <c r="C1256" s="63"/>
      <c r="D1256" s="63"/>
      <c r="E1256" s="63"/>
      <c r="F1256" s="63"/>
    </row>
    <row r="1257" spans="1:6" x14ac:dyDescent="0.3">
      <c r="A1257" s="71"/>
      <c r="B1257" s="63"/>
      <c r="C1257" s="63"/>
      <c r="D1257" s="63"/>
      <c r="E1257" s="63"/>
      <c r="F1257" s="63"/>
    </row>
    <row r="1258" spans="1:6" x14ac:dyDescent="0.3">
      <c r="A1258" s="71"/>
      <c r="B1258" s="63"/>
      <c r="C1258" s="63"/>
      <c r="D1258" s="63"/>
      <c r="E1258" s="63"/>
      <c r="F1258" s="63"/>
    </row>
    <row r="1259" spans="1:6" x14ac:dyDescent="0.3">
      <c r="A1259" s="71"/>
      <c r="B1259" s="63"/>
      <c r="C1259" s="63"/>
      <c r="D1259" s="63"/>
      <c r="E1259" s="63"/>
      <c r="F1259" s="63"/>
    </row>
    <row r="1260" spans="1:6" x14ac:dyDescent="0.3">
      <c r="A1260" s="71"/>
      <c r="B1260" s="63"/>
      <c r="C1260" s="63"/>
      <c r="D1260" s="63"/>
      <c r="E1260" s="63"/>
      <c r="F1260" s="63"/>
    </row>
    <row r="1261" spans="1:6" x14ac:dyDescent="0.3">
      <c r="A1261" s="71"/>
      <c r="B1261" s="63"/>
      <c r="C1261" s="63"/>
      <c r="D1261" s="63"/>
      <c r="E1261" s="63"/>
      <c r="F1261" s="63"/>
    </row>
    <row r="1262" spans="1:6" x14ac:dyDescent="0.3">
      <c r="A1262" s="71"/>
      <c r="B1262" s="63"/>
      <c r="C1262" s="63"/>
      <c r="D1262" s="63"/>
      <c r="E1262" s="63"/>
      <c r="F1262" s="63"/>
    </row>
    <row r="1263" spans="1:6" x14ac:dyDescent="0.3">
      <c r="A1263" s="71"/>
      <c r="B1263" s="63"/>
      <c r="C1263" s="63"/>
      <c r="D1263" s="63"/>
      <c r="E1263" s="63"/>
      <c r="F1263" s="63"/>
    </row>
    <row r="1264" spans="1:6" x14ac:dyDescent="0.3">
      <c r="A1264" s="71"/>
      <c r="B1264" s="63"/>
      <c r="C1264" s="63"/>
      <c r="D1264" s="63"/>
      <c r="E1264" s="63"/>
      <c r="F1264" s="63"/>
    </row>
    <row r="1265" spans="1:6" x14ac:dyDescent="0.3">
      <c r="A1265" s="71"/>
      <c r="B1265" s="63"/>
      <c r="C1265" s="63"/>
      <c r="D1265" s="63"/>
      <c r="E1265" s="63"/>
      <c r="F1265" s="63"/>
    </row>
    <row r="1266" spans="1:6" x14ac:dyDescent="0.3">
      <c r="A1266" s="71"/>
      <c r="B1266" s="63"/>
      <c r="C1266" s="63"/>
      <c r="D1266" s="63"/>
      <c r="E1266" s="63"/>
      <c r="F1266" s="63"/>
    </row>
    <row r="1267" spans="1:6" x14ac:dyDescent="0.3">
      <c r="A1267" s="71"/>
      <c r="B1267" s="63"/>
      <c r="C1267" s="63"/>
      <c r="D1267" s="63"/>
      <c r="E1267" s="63"/>
      <c r="F1267" s="63"/>
    </row>
    <row r="1268" spans="1:6" x14ac:dyDescent="0.3">
      <c r="A1268" s="71"/>
      <c r="B1268" s="63"/>
      <c r="C1268" s="63"/>
      <c r="D1268" s="63"/>
      <c r="E1268" s="63"/>
      <c r="F1268" s="63"/>
    </row>
    <row r="1269" spans="1:6" x14ac:dyDescent="0.3">
      <c r="A1269" s="71"/>
      <c r="B1269" s="63"/>
      <c r="C1269" s="63"/>
      <c r="D1269" s="63"/>
      <c r="E1269" s="63"/>
      <c r="F1269" s="63"/>
    </row>
    <row r="1270" spans="1:6" x14ac:dyDescent="0.3">
      <c r="A1270" s="71"/>
      <c r="B1270" s="63"/>
      <c r="C1270" s="63"/>
      <c r="D1270" s="63"/>
      <c r="E1270" s="63"/>
      <c r="F1270" s="63"/>
    </row>
    <row r="1271" spans="1:6" x14ac:dyDescent="0.3">
      <c r="A1271" s="71"/>
      <c r="B1271" s="63"/>
      <c r="C1271" s="63"/>
      <c r="D1271" s="63"/>
      <c r="E1271" s="63"/>
      <c r="F1271" s="63"/>
    </row>
    <row r="1272" spans="1:6" x14ac:dyDescent="0.3">
      <c r="A1272" s="71"/>
      <c r="B1272" s="63"/>
      <c r="C1272" s="63"/>
      <c r="D1272" s="63"/>
      <c r="E1272" s="63"/>
      <c r="F1272" s="63"/>
    </row>
    <row r="1273" spans="1:6" x14ac:dyDescent="0.3">
      <c r="A1273" s="71"/>
      <c r="B1273" s="63"/>
      <c r="C1273" s="63"/>
      <c r="D1273" s="63"/>
      <c r="E1273" s="63"/>
      <c r="F1273" s="63"/>
    </row>
    <row r="1274" spans="1:6" x14ac:dyDescent="0.3">
      <c r="A1274" s="71"/>
      <c r="B1274" s="63"/>
      <c r="C1274" s="63"/>
      <c r="D1274" s="63"/>
      <c r="E1274" s="63"/>
      <c r="F1274" s="63"/>
    </row>
    <row r="1275" spans="1:6" x14ac:dyDescent="0.3">
      <c r="A1275" s="71"/>
      <c r="B1275" s="63"/>
      <c r="C1275" s="63"/>
      <c r="D1275" s="63"/>
      <c r="E1275" s="63"/>
      <c r="F1275" s="63"/>
    </row>
    <row r="1276" spans="1:6" x14ac:dyDescent="0.3">
      <c r="A1276" s="71"/>
      <c r="B1276" s="63"/>
      <c r="C1276" s="63"/>
      <c r="D1276" s="63"/>
      <c r="E1276" s="63"/>
      <c r="F1276" s="63"/>
    </row>
    <row r="1277" spans="1:6" x14ac:dyDescent="0.3">
      <c r="A1277" s="71"/>
      <c r="B1277" s="63"/>
      <c r="C1277" s="63"/>
      <c r="D1277" s="63"/>
      <c r="E1277" s="63"/>
      <c r="F1277" s="63"/>
    </row>
    <row r="1278" spans="1:6" x14ac:dyDescent="0.3">
      <c r="A1278" s="71"/>
      <c r="B1278" s="63"/>
      <c r="C1278" s="63"/>
      <c r="D1278" s="63"/>
      <c r="E1278" s="63"/>
      <c r="F1278" s="63"/>
    </row>
    <row r="1279" spans="1:6" x14ac:dyDescent="0.3">
      <c r="A1279" s="71"/>
      <c r="B1279" s="63"/>
      <c r="C1279" s="63"/>
      <c r="D1279" s="63"/>
      <c r="E1279" s="63"/>
      <c r="F1279" s="63"/>
    </row>
    <row r="1280" spans="1:6" x14ac:dyDescent="0.3">
      <c r="A1280" s="71"/>
      <c r="B1280" s="63"/>
      <c r="C1280" s="63"/>
      <c r="D1280" s="63"/>
      <c r="E1280" s="63"/>
      <c r="F1280" s="63"/>
    </row>
    <row r="1281" spans="1:6" x14ac:dyDescent="0.3">
      <c r="A1281" s="71"/>
      <c r="B1281" s="63"/>
      <c r="C1281" s="63"/>
      <c r="D1281" s="63"/>
      <c r="E1281" s="63"/>
      <c r="F1281" s="63"/>
    </row>
    <row r="1282" spans="1:6" x14ac:dyDescent="0.3">
      <c r="A1282" s="71"/>
      <c r="B1282" s="63"/>
      <c r="C1282" s="63"/>
      <c r="D1282" s="63"/>
      <c r="E1282" s="63"/>
      <c r="F1282" s="63"/>
    </row>
    <row r="1283" spans="1:6" x14ac:dyDescent="0.3">
      <c r="A1283" s="71"/>
      <c r="B1283" s="63"/>
      <c r="C1283" s="63"/>
      <c r="D1283" s="63"/>
      <c r="E1283" s="63"/>
      <c r="F1283" s="63"/>
    </row>
    <row r="1284" spans="1:6" x14ac:dyDescent="0.3">
      <c r="A1284" s="71"/>
      <c r="B1284" s="63"/>
      <c r="C1284" s="63"/>
      <c r="D1284" s="63"/>
      <c r="E1284" s="63"/>
      <c r="F1284" s="63"/>
    </row>
    <row r="1285" spans="1:6" x14ac:dyDescent="0.3">
      <c r="A1285" s="71"/>
      <c r="B1285" s="63"/>
      <c r="C1285" s="63"/>
      <c r="D1285" s="63"/>
      <c r="E1285" s="63"/>
      <c r="F1285" s="63"/>
    </row>
    <row r="1286" spans="1:6" x14ac:dyDescent="0.3">
      <c r="A1286" s="71"/>
      <c r="B1286" s="63"/>
      <c r="C1286" s="63"/>
      <c r="D1286" s="63"/>
      <c r="E1286" s="63"/>
      <c r="F1286" s="63"/>
    </row>
    <row r="1287" spans="1:6" x14ac:dyDescent="0.3">
      <c r="A1287" s="71"/>
      <c r="B1287" s="63"/>
      <c r="C1287" s="63"/>
      <c r="D1287" s="63"/>
      <c r="E1287" s="63"/>
      <c r="F1287" s="63"/>
    </row>
    <row r="1288" spans="1:6" x14ac:dyDescent="0.3">
      <c r="A1288" s="71"/>
      <c r="B1288" s="63"/>
      <c r="C1288" s="63"/>
      <c r="D1288" s="63"/>
      <c r="E1288" s="63"/>
      <c r="F1288" s="63"/>
    </row>
    <row r="1289" spans="1:6" x14ac:dyDescent="0.3">
      <c r="A1289" s="71"/>
      <c r="B1289" s="63"/>
      <c r="C1289" s="63"/>
      <c r="D1289" s="63"/>
      <c r="E1289" s="63"/>
      <c r="F1289" s="63"/>
    </row>
    <row r="1290" spans="1:6" x14ac:dyDescent="0.3">
      <c r="A1290" s="71"/>
      <c r="B1290" s="63"/>
      <c r="C1290" s="63"/>
      <c r="D1290" s="63"/>
      <c r="E1290" s="63"/>
      <c r="F1290" s="63"/>
    </row>
    <row r="1291" spans="1:6" x14ac:dyDescent="0.3">
      <c r="A1291" s="71"/>
      <c r="B1291" s="63"/>
      <c r="C1291" s="63"/>
      <c r="D1291" s="63"/>
      <c r="E1291" s="63"/>
      <c r="F1291" s="63"/>
    </row>
    <row r="1292" spans="1:6" x14ac:dyDescent="0.3">
      <c r="A1292" s="71"/>
      <c r="B1292" s="63"/>
      <c r="C1292" s="63"/>
      <c r="D1292" s="63"/>
      <c r="E1292" s="63"/>
      <c r="F1292" s="63"/>
    </row>
    <row r="1293" spans="1:6" x14ac:dyDescent="0.3">
      <c r="A1293" s="71"/>
      <c r="B1293" s="63"/>
      <c r="C1293" s="63"/>
      <c r="D1293" s="63"/>
      <c r="E1293" s="63"/>
      <c r="F1293" s="63"/>
    </row>
    <row r="1294" spans="1:6" x14ac:dyDescent="0.3">
      <c r="A1294" s="71"/>
      <c r="B1294" s="63"/>
      <c r="C1294" s="63"/>
      <c r="D1294" s="63"/>
      <c r="E1294" s="63"/>
      <c r="F1294" s="63"/>
    </row>
    <row r="1295" spans="1:6" x14ac:dyDescent="0.3">
      <c r="A1295" s="71"/>
      <c r="B1295" s="63"/>
      <c r="C1295" s="63"/>
      <c r="D1295" s="63"/>
      <c r="E1295" s="63"/>
      <c r="F1295" s="63"/>
    </row>
    <row r="1296" spans="1:6" x14ac:dyDescent="0.3">
      <c r="A1296" s="71"/>
      <c r="B1296" s="63"/>
      <c r="C1296" s="63"/>
      <c r="D1296" s="63"/>
      <c r="E1296" s="63"/>
      <c r="F1296" s="63"/>
    </row>
    <row r="1297" spans="1:6" x14ac:dyDescent="0.3">
      <c r="A1297" s="71"/>
      <c r="B1297" s="63"/>
      <c r="C1297" s="63"/>
      <c r="D1297" s="63"/>
      <c r="E1297" s="63"/>
      <c r="F1297" s="63"/>
    </row>
    <row r="1298" spans="1:6" x14ac:dyDescent="0.3">
      <c r="A1298" s="71"/>
      <c r="B1298" s="63"/>
      <c r="C1298" s="63"/>
      <c r="D1298" s="63"/>
      <c r="E1298" s="63"/>
      <c r="F1298" s="63"/>
    </row>
    <row r="1299" spans="1:6" x14ac:dyDescent="0.3">
      <c r="A1299" s="71"/>
      <c r="B1299" s="63"/>
      <c r="C1299" s="63"/>
      <c r="D1299" s="63"/>
      <c r="E1299" s="63"/>
      <c r="F1299" s="63"/>
    </row>
    <row r="1300" spans="1:6" x14ac:dyDescent="0.3">
      <c r="A1300" s="71"/>
      <c r="B1300" s="63"/>
      <c r="C1300" s="63"/>
      <c r="D1300" s="63"/>
      <c r="E1300" s="63"/>
      <c r="F1300" s="63"/>
    </row>
    <row r="1301" spans="1:6" x14ac:dyDescent="0.3">
      <c r="A1301" s="71"/>
      <c r="B1301" s="63"/>
      <c r="C1301" s="63"/>
      <c r="D1301" s="63"/>
      <c r="E1301" s="63"/>
      <c r="F1301" s="63"/>
    </row>
    <row r="1302" spans="1:6" x14ac:dyDescent="0.3">
      <c r="A1302" s="71"/>
      <c r="B1302" s="63"/>
      <c r="C1302" s="63"/>
      <c r="D1302" s="63"/>
      <c r="E1302" s="63"/>
      <c r="F1302" s="63"/>
    </row>
    <row r="1303" spans="1:6" x14ac:dyDescent="0.3">
      <c r="A1303" s="71"/>
      <c r="B1303" s="63"/>
      <c r="C1303" s="63"/>
      <c r="D1303" s="63"/>
      <c r="E1303" s="63"/>
      <c r="F1303" s="63"/>
    </row>
    <row r="1304" spans="1:6" x14ac:dyDescent="0.3">
      <c r="A1304" s="71"/>
      <c r="B1304" s="63"/>
      <c r="C1304" s="63"/>
      <c r="D1304" s="63"/>
      <c r="E1304" s="63"/>
      <c r="F1304" s="63"/>
    </row>
    <row r="1305" spans="1:6" x14ac:dyDescent="0.3">
      <c r="A1305" s="71"/>
      <c r="B1305" s="63"/>
      <c r="C1305" s="63"/>
      <c r="D1305" s="63"/>
      <c r="E1305" s="63"/>
      <c r="F1305" s="63"/>
    </row>
    <row r="1306" spans="1:6" x14ac:dyDescent="0.3">
      <c r="A1306" s="71"/>
      <c r="B1306" s="63"/>
      <c r="C1306" s="63"/>
      <c r="D1306" s="63"/>
      <c r="E1306" s="63"/>
      <c r="F1306" s="63"/>
    </row>
    <row r="1307" spans="1:6" x14ac:dyDescent="0.3">
      <c r="A1307" s="71"/>
      <c r="B1307" s="63"/>
      <c r="C1307" s="63"/>
      <c r="D1307" s="63"/>
      <c r="E1307" s="63"/>
      <c r="F1307" s="63"/>
    </row>
    <row r="1308" spans="1:6" x14ac:dyDescent="0.3">
      <c r="A1308" s="71"/>
      <c r="B1308" s="63"/>
      <c r="C1308" s="63"/>
      <c r="D1308" s="63"/>
      <c r="E1308" s="63"/>
      <c r="F1308" s="63"/>
    </row>
    <row r="1309" spans="1:6" x14ac:dyDescent="0.3">
      <c r="A1309" s="71"/>
      <c r="B1309" s="63"/>
      <c r="C1309" s="63"/>
      <c r="D1309" s="63"/>
      <c r="E1309" s="63"/>
      <c r="F1309" s="63"/>
    </row>
    <row r="1310" spans="1:6" x14ac:dyDescent="0.3">
      <c r="A1310" s="71"/>
      <c r="B1310" s="63"/>
      <c r="C1310" s="63"/>
      <c r="D1310" s="63"/>
      <c r="E1310" s="63"/>
      <c r="F1310" s="63"/>
    </row>
    <row r="1311" spans="1:6" x14ac:dyDescent="0.3">
      <c r="A1311" s="71"/>
      <c r="B1311" s="63"/>
      <c r="C1311" s="63"/>
      <c r="D1311" s="63"/>
      <c r="E1311" s="63"/>
      <c r="F1311" s="63"/>
    </row>
    <row r="1312" spans="1:6" x14ac:dyDescent="0.3">
      <c r="A1312" s="71"/>
      <c r="B1312" s="63"/>
      <c r="C1312" s="63"/>
      <c r="D1312" s="63"/>
      <c r="E1312" s="63"/>
      <c r="F1312" s="63"/>
    </row>
    <row r="1313" spans="1:6" x14ac:dyDescent="0.3">
      <c r="A1313" s="71"/>
      <c r="B1313" s="63"/>
      <c r="C1313" s="63"/>
      <c r="D1313" s="63"/>
      <c r="E1313" s="63"/>
      <c r="F1313" s="63"/>
    </row>
    <row r="1314" spans="1:6" x14ac:dyDescent="0.3">
      <c r="A1314" s="71"/>
      <c r="B1314" s="63"/>
      <c r="C1314" s="63"/>
      <c r="D1314" s="63"/>
      <c r="E1314" s="63"/>
      <c r="F1314" s="63"/>
    </row>
    <row r="1315" spans="1:6" x14ac:dyDescent="0.3">
      <c r="A1315" s="71"/>
      <c r="B1315" s="63"/>
      <c r="C1315" s="63"/>
      <c r="D1315" s="63"/>
      <c r="E1315" s="63"/>
      <c r="F1315" s="63"/>
    </row>
    <row r="1316" spans="1:6" x14ac:dyDescent="0.3">
      <c r="A1316" s="71"/>
      <c r="B1316" s="63"/>
      <c r="C1316" s="63"/>
      <c r="D1316" s="63"/>
      <c r="E1316" s="63"/>
      <c r="F1316" s="63"/>
    </row>
    <row r="1317" spans="1:6" x14ac:dyDescent="0.3">
      <c r="A1317" s="71"/>
      <c r="B1317" s="63"/>
      <c r="C1317" s="63"/>
      <c r="D1317" s="63"/>
      <c r="E1317" s="63"/>
      <c r="F1317" s="63"/>
    </row>
    <row r="1318" spans="1:6" x14ac:dyDescent="0.3">
      <c r="A1318" s="71"/>
      <c r="B1318" s="63"/>
      <c r="C1318" s="63"/>
      <c r="D1318" s="63"/>
      <c r="E1318" s="63"/>
      <c r="F1318" s="63"/>
    </row>
    <row r="1319" spans="1:6" x14ac:dyDescent="0.3">
      <c r="A1319" s="71"/>
      <c r="B1319" s="63"/>
      <c r="C1319" s="63"/>
      <c r="D1319" s="63"/>
      <c r="E1319" s="63"/>
      <c r="F1319" s="63"/>
    </row>
    <row r="1320" spans="1:6" x14ac:dyDescent="0.3">
      <c r="A1320" s="71"/>
      <c r="B1320" s="63"/>
      <c r="C1320" s="63"/>
      <c r="D1320" s="63"/>
      <c r="E1320" s="63"/>
      <c r="F1320" s="63"/>
    </row>
    <row r="1321" spans="1:6" x14ac:dyDescent="0.3">
      <c r="A1321" s="71"/>
      <c r="B1321" s="63"/>
      <c r="C1321" s="63"/>
      <c r="D1321" s="63"/>
      <c r="E1321" s="63"/>
      <c r="F1321" s="63"/>
    </row>
    <row r="1322" spans="1:6" x14ac:dyDescent="0.3">
      <c r="A1322" s="71"/>
      <c r="B1322" s="63"/>
      <c r="C1322" s="63"/>
      <c r="D1322" s="63"/>
      <c r="E1322" s="63"/>
      <c r="F1322" s="63"/>
    </row>
    <row r="1323" spans="1:6" x14ac:dyDescent="0.3">
      <c r="A1323" s="71"/>
      <c r="B1323" s="63"/>
      <c r="C1323" s="63"/>
      <c r="D1323" s="63"/>
      <c r="E1323" s="63"/>
      <c r="F1323" s="63"/>
    </row>
    <row r="1324" spans="1:6" x14ac:dyDescent="0.3">
      <c r="A1324" s="71"/>
      <c r="B1324" s="63"/>
      <c r="C1324" s="63"/>
      <c r="D1324" s="63"/>
      <c r="E1324" s="63"/>
      <c r="F1324" s="63"/>
    </row>
    <row r="1325" spans="1:6" x14ac:dyDescent="0.3">
      <c r="A1325" s="71"/>
      <c r="B1325" s="63"/>
      <c r="C1325" s="63"/>
      <c r="D1325" s="63"/>
      <c r="E1325" s="63"/>
      <c r="F1325" s="63"/>
    </row>
    <row r="1326" spans="1:6" x14ac:dyDescent="0.3">
      <c r="A1326" s="71"/>
      <c r="B1326" s="63"/>
      <c r="C1326" s="63"/>
      <c r="D1326" s="63"/>
      <c r="E1326" s="63"/>
      <c r="F1326" s="63"/>
    </row>
    <row r="1327" spans="1:6" x14ac:dyDescent="0.3">
      <c r="A1327" s="71"/>
      <c r="B1327" s="63"/>
      <c r="C1327" s="63"/>
      <c r="D1327" s="63"/>
      <c r="E1327" s="63"/>
      <c r="F1327" s="63"/>
    </row>
    <row r="1328" spans="1:6" x14ac:dyDescent="0.3">
      <c r="A1328" s="71"/>
      <c r="B1328" s="63"/>
      <c r="C1328" s="63"/>
      <c r="D1328" s="63"/>
      <c r="E1328" s="63"/>
      <c r="F1328" s="63"/>
    </row>
    <row r="1329" spans="1:6" x14ac:dyDescent="0.3">
      <c r="A1329" s="71"/>
      <c r="B1329" s="63"/>
      <c r="C1329" s="63"/>
      <c r="D1329" s="63"/>
      <c r="E1329" s="63"/>
      <c r="F1329" s="63"/>
    </row>
    <row r="1330" spans="1:6" x14ac:dyDescent="0.3">
      <c r="A1330" s="71"/>
      <c r="B1330" s="63"/>
      <c r="C1330" s="63"/>
      <c r="D1330" s="63"/>
      <c r="E1330" s="63"/>
      <c r="F1330" s="63"/>
    </row>
    <row r="1331" spans="1:6" x14ac:dyDescent="0.3">
      <c r="A1331" s="71"/>
      <c r="B1331" s="63"/>
      <c r="C1331" s="63"/>
      <c r="D1331" s="63"/>
      <c r="E1331" s="63"/>
      <c r="F1331" s="63"/>
    </row>
    <row r="1332" spans="1:6" x14ac:dyDescent="0.3">
      <c r="A1332" s="71"/>
      <c r="B1332" s="63"/>
      <c r="C1332" s="63"/>
      <c r="D1332" s="63"/>
      <c r="E1332" s="63"/>
      <c r="F1332" s="63"/>
    </row>
    <row r="1333" spans="1:6" x14ac:dyDescent="0.3">
      <c r="A1333" s="71"/>
      <c r="B1333" s="63"/>
      <c r="C1333" s="63"/>
      <c r="D1333" s="63"/>
      <c r="E1333" s="63"/>
      <c r="F1333" s="63"/>
    </row>
    <row r="1334" spans="1:6" x14ac:dyDescent="0.3">
      <c r="A1334" s="71"/>
      <c r="B1334" s="63"/>
      <c r="C1334" s="63"/>
      <c r="D1334" s="63"/>
      <c r="E1334" s="63"/>
      <c r="F1334" s="63"/>
    </row>
    <row r="1335" spans="1:6" x14ac:dyDescent="0.3">
      <c r="A1335" s="71"/>
      <c r="B1335" s="63"/>
      <c r="C1335" s="63"/>
      <c r="D1335" s="63"/>
      <c r="E1335" s="63"/>
      <c r="F1335" s="63"/>
    </row>
    <row r="1336" spans="1:6" x14ac:dyDescent="0.3">
      <c r="A1336" s="71"/>
      <c r="B1336" s="63"/>
      <c r="C1336" s="63"/>
      <c r="D1336" s="63"/>
      <c r="E1336" s="63"/>
      <c r="F1336" s="63"/>
    </row>
    <row r="1337" spans="1:6" x14ac:dyDescent="0.3">
      <c r="A1337" s="71"/>
      <c r="B1337" s="63"/>
      <c r="C1337" s="63"/>
      <c r="D1337" s="63"/>
      <c r="E1337" s="63"/>
      <c r="F1337" s="63"/>
    </row>
    <row r="1338" spans="1:6" x14ac:dyDescent="0.3">
      <c r="A1338" s="71"/>
      <c r="B1338" s="63"/>
      <c r="C1338" s="63"/>
      <c r="D1338" s="63"/>
      <c r="E1338" s="63"/>
      <c r="F1338" s="63"/>
    </row>
    <row r="1339" spans="1:6" x14ac:dyDescent="0.3">
      <c r="A1339" s="71"/>
      <c r="B1339" s="63"/>
      <c r="C1339" s="63"/>
      <c r="D1339" s="63"/>
      <c r="E1339" s="63"/>
      <c r="F1339" s="63"/>
    </row>
    <row r="1340" spans="1:6" x14ac:dyDescent="0.3">
      <c r="A1340" s="71"/>
      <c r="B1340" s="63"/>
      <c r="C1340" s="63"/>
      <c r="D1340" s="63"/>
      <c r="E1340" s="63"/>
      <c r="F1340" s="63"/>
    </row>
    <row r="1341" spans="1:6" x14ac:dyDescent="0.3">
      <c r="A1341" s="71"/>
      <c r="B1341" s="63"/>
      <c r="C1341" s="63"/>
      <c r="D1341" s="63"/>
      <c r="E1341" s="63"/>
      <c r="F1341" s="63"/>
    </row>
    <row r="1342" spans="1:6" x14ac:dyDescent="0.3">
      <c r="A1342" s="71"/>
      <c r="B1342" s="63"/>
      <c r="C1342" s="63"/>
      <c r="D1342" s="63"/>
      <c r="E1342" s="63"/>
      <c r="F1342" s="63"/>
    </row>
    <row r="1343" spans="1:6" x14ac:dyDescent="0.3">
      <c r="A1343" s="71"/>
      <c r="B1343" s="63"/>
      <c r="C1343" s="63"/>
      <c r="D1343" s="63"/>
      <c r="E1343" s="63"/>
      <c r="F1343" s="63"/>
    </row>
    <row r="1344" spans="1:6" x14ac:dyDescent="0.3">
      <c r="A1344" s="71"/>
      <c r="B1344" s="63"/>
      <c r="C1344" s="63"/>
      <c r="D1344" s="63"/>
      <c r="E1344" s="63"/>
      <c r="F1344" s="63"/>
    </row>
    <row r="1345" spans="1:6" x14ac:dyDescent="0.3">
      <c r="A1345" s="71"/>
      <c r="B1345" s="63"/>
      <c r="C1345" s="63"/>
      <c r="D1345" s="63"/>
      <c r="E1345" s="63"/>
      <c r="F1345" s="63"/>
    </row>
    <row r="1346" spans="1:6" x14ac:dyDescent="0.3">
      <c r="A1346" s="71"/>
      <c r="B1346" s="63"/>
      <c r="C1346" s="63"/>
      <c r="D1346" s="63"/>
      <c r="E1346" s="63"/>
      <c r="F1346" s="63"/>
    </row>
    <row r="1347" spans="1:6" x14ac:dyDescent="0.3">
      <c r="A1347" s="71"/>
      <c r="B1347" s="63"/>
      <c r="C1347" s="63"/>
      <c r="D1347" s="63"/>
      <c r="E1347" s="63"/>
      <c r="F1347" s="63"/>
    </row>
    <row r="1348" spans="1:6" x14ac:dyDescent="0.3">
      <c r="A1348" s="71"/>
      <c r="B1348" s="63"/>
      <c r="C1348" s="63"/>
      <c r="D1348" s="63"/>
      <c r="E1348" s="63"/>
      <c r="F1348" s="63"/>
    </row>
    <row r="1349" spans="1:6" x14ac:dyDescent="0.3">
      <c r="A1349" s="71"/>
      <c r="B1349" s="63"/>
      <c r="C1349" s="63"/>
      <c r="D1349" s="63"/>
      <c r="E1349" s="63"/>
      <c r="F1349" s="63"/>
    </row>
    <row r="1350" spans="1:6" x14ac:dyDescent="0.3">
      <c r="A1350" s="71"/>
      <c r="B1350" s="63"/>
      <c r="C1350" s="63"/>
      <c r="D1350" s="63"/>
      <c r="E1350" s="63"/>
      <c r="F1350" s="63"/>
    </row>
    <row r="1351" spans="1:6" x14ac:dyDescent="0.3">
      <c r="A1351" s="71"/>
      <c r="B1351" s="63"/>
      <c r="C1351" s="63"/>
      <c r="D1351" s="63"/>
      <c r="E1351" s="63"/>
      <c r="F1351" s="63"/>
    </row>
    <row r="1352" spans="1:6" x14ac:dyDescent="0.3">
      <c r="A1352" s="71"/>
      <c r="B1352" s="63"/>
      <c r="C1352" s="63"/>
      <c r="D1352" s="63"/>
      <c r="E1352" s="63"/>
      <c r="F1352" s="63"/>
    </row>
    <row r="1353" spans="1:6" x14ac:dyDescent="0.3">
      <c r="A1353" s="71"/>
      <c r="B1353" s="63"/>
      <c r="C1353" s="63"/>
      <c r="D1353" s="63"/>
      <c r="E1353" s="63"/>
      <c r="F1353" s="63"/>
    </row>
    <row r="1354" spans="1:6" x14ac:dyDescent="0.3">
      <c r="A1354" s="71"/>
      <c r="B1354" s="63"/>
      <c r="C1354" s="63"/>
      <c r="D1354" s="63"/>
      <c r="E1354" s="63"/>
      <c r="F1354" s="63"/>
    </row>
    <row r="1355" spans="1:6" x14ac:dyDescent="0.3">
      <c r="A1355" s="71"/>
      <c r="B1355" s="63"/>
      <c r="C1355" s="63"/>
      <c r="D1355" s="63"/>
      <c r="E1355" s="63"/>
      <c r="F1355" s="63"/>
    </row>
    <row r="1356" spans="1:6" x14ac:dyDescent="0.3">
      <c r="A1356" s="71"/>
      <c r="B1356" s="63"/>
      <c r="C1356" s="63"/>
      <c r="D1356" s="63"/>
      <c r="E1356" s="63"/>
      <c r="F1356" s="63"/>
    </row>
    <row r="1357" spans="1:6" x14ac:dyDescent="0.3">
      <c r="A1357" s="71"/>
      <c r="B1357" s="63"/>
      <c r="C1357" s="63"/>
      <c r="D1357" s="63"/>
      <c r="E1357" s="63"/>
      <c r="F1357" s="63"/>
    </row>
    <row r="1358" spans="1:6" x14ac:dyDescent="0.3">
      <c r="A1358" s="71"/>
      <c r="B1358" s="63"/>
      <c r="C1358" s="63"/>
      <c r="D1358" s="63"/>
      <c r="E1358" s="63"/>
      <c r="F1358" s="63"/>
    </row>
    <row r="1359" spans="1:6" x14ac:dyDescent="0.3">
      <c r="A1359" s="71"/>
      <c r="B1359" s="63"/>
      <c r="C1359" s="63"/>
      <c r="D1359" s="63"/>
      <c r="E1359" s="63"/>
      <c r="F1359" s="63"/>
    </row>
    <row r="1360" spans="1:6" x14ac:dyDescent="0.3">
      <c r="A1360" s="71"/>
      <c r="B1360" s="63"/>
      <c r="C1360" s="63"/>
      <c r="D1360" s="63"/>
      <c r="E1360" s="63"/>
      <c r="F1360" s="63"/>
    </row>
    <row r="1361" spans="1:6" x14ac:dyDescent="0.3">
      <c r="A1361" s="71"/>
      <c r="B1361" s="63"/>
      <c r="C1361" s="63"/>
      <c r="D1361" s="63"/>
      <c r="E1361" s="63"/>
      <c r="F1361" s="63"/>
    </row>
    <row r="1362" spans="1:6" x14ac:dyDescent="0.3">
      <c r="A1362" s="71"/>
      <c r="B1362" s="63"/>
      <c r="C1362" s="63"/>
      <c r="D1362" s="63"/>
      <c r="E1362" s="63"/>
      <c r="F1362" s="63"/>
    </row>
    <row r="1363" spans="1:6" x14ac:dyDescent="0.3">
      <c r="A1363" s="71"/>
      <c r="B1363" s="63"/>
      <c r="C1363" s="63"/>
      <c r="D1363" s="63"/>
      <c r="E1363" s="63"/>
      <c r="F1363" s="63"/>
    </row>
    <row r="1364" spans="1:6" x14ac:dyDescent="0.3">
      <c r="A1364" s="71"/>
      <c r="B1364" s="63"/>
      <c r="C1364" s="63"/>
      <c r="D1364" s="63"/>
      <c r="E1364" s="63"/>
      <c r="F1364" s="63"/>
    </row>
    <row r="1365" spans="1:6" x14ac:dyDescent="0.3">
      <c r="A1365" s="71"/>
      <c r="B1365" s="63"/>
      <c r="C1365" s="63"/>
      <c r="D1365" s="63"/>
      <c r="E1365" s="63"/>
      <c r="F1365" s="63"/>
    </row>
    <row r="1366" spans="1:6" x14ac:dyDescent="0.3">
      <c r="A1366" s="71"/>
      <c r="B1366" s="63"/>
      <c r="C1366" s="63"/>
      <c r="D1366" s="63"/>
      <c r="E1366" s="63"/>
      <c r="F1366" s="63"/>
    </row>
    <row r="1367" spans="1:6" x14ac:dyDescent="0.3">
      <c r="A1367" s="71"/>
      <c r="B1367" s="63"/>
      <c r="C1367" s="63"/>
      <c r="D1367" s="63"/>
      <c r="E1367" s="63"/>
      <c r="F1367" s="63"/>
    </row>
    <row r="1368" spans="1:6" x14ac:dyDescent="0.3">
      <c r="A1368" s="71"/>
      <c r="B1368" s="63"/>
      <c r="C1368" s="63"/>
      <c r="D1368" s="63"/>
      <c r="E1368" s="63"/>
      <c r="F1368" s="63"/>
    </row>
    <row r="1369" spans="1:6" x14ac:dyDescent="0.3">
      <c r="A1369" s="71"/>
      <c r="B1369" s="63"/>
      <c r="C1369" s="63"/>
      <c r="D1369" s="63"/>
      <c r="E1369" s="63"/>
      <c r="F1369" s="63"/>
    </row>
    <row r="1370" spans="1:6" x14ac:dyDescent="0.3">
      <c r="A1370" s="71"/>
      <c r="B1370" s="63"/>
      <c r="C1370" s="63"/>
      <c r="D1370" s="63"/>
      <c r="E1370" s="63"/>
      <c r="F1370" s="63"/>
    </row>
    <row r="1371" spans="1:6" x14ac:dyDescent="0.3">
      <c r="A1371" s="71"/>
      <c r="B1371" s="63"/>
      <c r="C1371" s="63"/>
      <c r="D1371" s="63"/>
      <c r="E1371" s="63"/>
      <c r="F1371" s="63"/>
    </row>
    <row r="1372" spans="1:6" x14ac:dyDescent="0.3">
      <c r="A1372" s="71"/>
      <c r="B1372" s="63"/>
      <c r="C1372" s="63"/>
      <c r="D1372" s="63"/>
      <c r="E1372" s="63"/>
      <c r="F1372" s="63"/>
    </row>
    <row r="1373" spans="1:6" x14ac:dyDescent="0.3">
      <c r="A1373" s="71"/>
      <c r="B1373" s="63"/>
      <c r="C1373" s="63"/>
      <c r="D1373" s="63"/>
      <c r="E1373" s="63"/>
      <c r="F1373" s="63"/>
    </row>
    <row r="1374" spans="1:6" x14ac:dyDescent="0.3">
      <c r="A1374" s="71"/>
      <c r="B1374" s="63"/>
      <c r="C1374" s="63"/>
      <c r="D1374" s="63"/>
      <c r="E1374" s="63"/>
      <c r="F1374" s="63"/>
    </row>
    <row r="1375" spans="1:6" x14ac:dyDescent="0.3">
      <c r="A1375" s="71"/>
      <c r="B1375" s="63"/>
      <c r="C1375" s="63"/>
      <c r="D1375" s="63"/>
      <c r="E1375" s="63"/>
      <c r="F1375" s="63"/>
    </row>
    <row r="1376" spans="1:6" x14ac:dyDescent="0.3">
      <c r="A1376" s="71"/>
      <c r="B1376" s="63"/>
      <c r="C1376" s="63"/>
      <c r="D1376" s="63"/>
      <c r="E1376" s="63"/>
      <c r="F1376" s="63"/>
    </row>
    <row r="1377" spans="1:6" x14ac:dyDescent="0.3">
      <c r="A1377" s="71"/>
      <c r="B1377" s="63"/>
      <c r="C1377" s="63"/>
      <c r="D1377" s="63"/>
      <c r="E1377" s="63"/>
      <c r="F1377" s="63"/>
    </row>
    <row r="1378" spans="1:6" x14ac:dyDescent="0.3">
      <c r="A1378" s="71"/>
      <c r="B1378" s="63"/>
      <c r="C1378" s="63"/>
      <c r="D1378" s="63"/>
      <c r="E1378" s="63"/>
      <c r="F1378" s="63"/>
    </row>
    <row r="1379" spans="1:6" x14ac:dyDescent="0.3">
      <c r="A1379" s="71"/>
      <c r="B1379" s="63"/>
      <c r="C1379" s="63"/>
      <c r="D1379" s="63"/>
      <c r="E1379" s="63"/>
      <c r="F1379" s="63"/>
    </row>
    <row r="1380" spans="1:6" x14ac:dyDescent="0.3">
      <c r="A1380" s="71"/>
      <c r="B1380" s="63"/>
      <c r="C1380" s="63"/>
      <c r="D1380" s="63"/>
      <c r="E1380" s="63"/>
      <c r="F1380" s="63"/>
    </row>
    <row r="1381" spans="1:6" x14ac:dyDescent="0.3">
      <c r="A1381" s="71"/>
      <c r="B1381" s="63"/>
      <c r="C1381" s="63"/>
      <c r="D1381" s="63"/>
      <c r="E1381" s="63"/>
      <c r="F1381" s="63"/>
    </row>
    <row r="1382" spans="1:6" x14ac:dyDescent="0.3">
      <c r="A1382" s="71"/>
      <c r="B1382" s="63"/>
      <c r="C1382" s="63"/>
      <c r="D1382" s="63"/>
      <c r="E1382" s="63"/>
      <c r="F1382" s="63"/>
    </row>
    <row r="1383" spans="1:6" x14ac:dyDescent="0.3">
      <c r="A1383" s="71"/>
      <c r="B1383" s="63"/>
      <c r="C1383" s="63"/>
      <c r="D1383" s="63"/>
      <c r="E1383" s="63"/>
      <c r="F1383" s="63"/>
    </row>
    <row r="1384" spans="1:6" x14ac:dyDescent="0.3">
      <c r="A1384" s="71"/>
      <c r="B1384" s="63"/>
      <c r="C1384" s="63"/>
      <c r="D1384" s="63"/>
      <c r="E1384" s="63"/>
      <c r="F1384" s="63"/>
    </row>
    <row r="1385" spans="1:6" x14ac:dyDescent="0.3">
      <c r="A1385" s="71"/>
      <c r="B1385" s="63"/>
      <c r="C1385" s="63"/>
      <c r="D1385" s="63"/>
      <c r="E1385" s="63"/>
      <c r="F1385" s="63"/>
    </row>
    <row r="1386" spans="1:6" x14ac:dyDescent="0.3">
      <c r="A1386" s="71"/>
      <c r="B1386" s="63"/>
      <c r="C1386" s="63"/>
      <c r="D1386" s="63"/>
      <c r="E1386" s="63"/>
      <c r="F1386" s="63"/>
    </row>
    <row r="1387" spans="1:6" x14ac:dyDescent="0.3">
      <c r="A1387" s="71"/>
      <c r="B1387" s="63"/>
      <c r="C1387" s="63"/>
      <c r="D1387" s="63"/>
      <c r="E1387" s="63"/>
      <c r="F1387" s="63"/>
    </row>
    <row r="1388" spans="1:6" x14ac:dyDescent="0.3">
      <c r="A1388" s="71"/>
      <c r="B1388" s="63"/>
      <c r="C1388" s="63"/>
      <c r="D1388" s="63"/>
      <c r="E1388" s="63"/>
      <c r="F1388" s="63"/>
    </row>
    <row r="1389" spans="1:6" x14ac:dyDescent="0.3">
      <c r="A1389" s="71"/>
      <c r="B1389" s="63"/>
      <c r="C1389" s="63"/>
      <c r="D1389" s="63"/>
      <c r="E1389" s="63"/>
      <c r="F1389" s="63"/>
    </row>
    <row r="1390" spans="1:6" x14ac:dyDescent="0.3">
      <c r="A1390" s="71"/>
      <c r="B1390" s="63"/>
      <c r="C1390" s="63"/>
      <c r="D1390" s="63"/>
      <c r="E1390" s="63"/>
      <c r="F1390" s="63"/>
    </row>
    <row r="1391" spans="1:6" x14ac:dyDescent="0.3">
      <c r="A1391" s="71"/>
      <c r="B1391" s="63"/>
      <c r="C1391" s="63"/>
      <c r="D1391" s="63"/>
      <c r="E1391" s="63"/>
      <c r="F1391" s="63"/>
    </row>
    <row r="1392" spans="1:6" x14ac:dyDescent="0.3">
      <c r="A1392" s="71"/>
      <c r="B1392" s="63"/>
      <c r="C1392" s="63"/>
      <c r="D1392" s="63"/>
      <c r="E1392" s="63"/>
      <c r="F1392" s="63"/>
    </row>
    <row r="1393" spans="1:6" x14ac:dyDescent="0.3">
      <c r="A1393" s="71"/>
      <c r="B1393" s="63"/>
      <c r="C1393" s="63"/>
      <c r="D1393" s="63"/>
      <c r="E1393" s="63"/>
      <c r="F1393" s="63"/>
    </row>
    <row r="1394" spans="1:6" x14ac:dyDescent="0.3">
      <c r="A1394" s="71"/>
      <c r="B1394" s="63"/>
      <c r="C1394" s="63"/>
      <c r="D1394" s="63"/>
      <c r="E1394" s="63"/>
      <c r="F1394" s="63"/>
    </row>
    <row r="1395" spans="1:6" x14ac:dyDescent="0.3">
      <c r="A1395" s="71"/>
      <c r="B1395" s="63"/>
      <c r="C1395" s="63"/>
      <c r="D1395" s="63"/>
      <c r="E1395" s="63"/>
      <c r="F1395" s="63"/>
    </row>
    <row r="1396" spans="1:6" x14ac:dyDescent="0.3">
      <c r="A1396" s="71"/>
      <c r="B1396" s="63"/>
      <c r="C1396" s="63"/>
      <c r="D1396" s="63"/>
      <c r="E1396" s="63"/>
      <c r="F1396" s="63"/>
    </row>
    <row r="1397" spans="1:6" x14ac:dyDescent="0.3">
      <c r="A1397" s="71"/>
      <c r="B1397" s="63"/>
      <c r="C1397" s="63"/>
      <c r="D1397" s="63"/>
      <c r="E1397" s="63"/>
      <c r="F1397" s="63"/>
    </row>
    <row r="1398" spans="1:6" x14ac:dyDescent="0.3">
      <c r="A1398" s="71"/>
      <c r="B1398" s="63"/>
      <c r="C1398" s="63"/>
      <c r="D1398" s="63"/>
      <c r="E1398" s="63"/>
      <c r="F1398" s="63"/>
    </row>
    <row r="1399" spans="1:6" x14ac:dyDescent="0.3">
      <c r="A1399" s="71"/>
      <c r="B1399" s="63"/>
      <c r="C1399" s="63"/>
      <c r="D1399" s="63"/>
      <c r="E1399" s="63"/>
      <c r="F1399" s="63"/>
    </row>
    <row r="1400" spans="1:6" x14ac:dyDescent="0.3">
      <c r="A1400" s="71"/>
      <c r="B1400" s="63"/>
      <c r="C1400" s="63"/>
      <c r="D1400" s="63"/>
      <c r="E1400" s="63"/>
      <c r="F1400" s="63"/>
    </row>
    <row r="1401" spans="1:6" x14ac:dyDescent="0.3">
      <c r="A1401" s="71"/>
      <c r="B1401" s="63"/>
      <c r="C1401" s="63"/>
      <c r="D1401" s="63"/>
      <c r="E1401" s="63"/>
      <c r="F1401" s="63"/>
    </row>
    <row r="1402" spans="1:6" x14ac:dyDescent="0.3">
      <c r="A1402" s="71"/>
      <c r="B1402" s="63"/>
      <c r="C1402" s="63"/>
      <c r="D1402" s="63"/>
      <c r="E1402" s="63"/>
      <c r="F1402" s="63"/>
    </row>
    <row r="1403" spans="1:6" x14ac:dyDescent="0.3">
      <c r="A1403" s="71"/>
      <c r="B1403" s="63"/>
      <c r="C1403" s="63"/>
      <c r="D1403" s="63"/>
      <c r="E1403" s="63"/>
      <c r="F1403" s="63"/>
    </row>
    <row r="1404" spans="1:6" x14ac:dyDescent="0.3">
      <c r="A1404" s="71"/>
      <c r="B1404" s="63"/>
      <c r="C1404" s="63"/>
      <c r="D1404" s="63"/>
      <c r="E1404" s="63"/>
      <c r="F1404" s="63"/>
    </row>
    <row r="1405" spans="1:6" x14ac:dyDescent="0.3">
      <c r="A1405" s="71"/>
      <c r="B1405" s="63"/>
      <c r="C1405" s="63"/>
      <c r="D1405" s="63"/>
      <c r="E1405" s="63"/>
      <c r="F1405" s="63"/>
    </row>
    <row r="1406" spans="1:6" x14ac:dyDescent="0.3">
      <c r="A1406" s="71"/>
      <c r="B1406" s="63"/>
      <c r="C1406" s="63"/>
      <c r="D1406" s="63"/>
      <c r="E1406" s="63"/>
      <c r="F1406" s="63"/>
    </row>
    <row r="1407" spans="1:6" x14ac:dyDescent="0.3">
      <c r="A1407" s="71"/>
      <c r="B1407" s="63"/>
      <c r="C1407" s="63"/>
      <c r="D1407" s="63"/>
      <c r="E1407" s="63"/>
      <c r="F1407" s="63"/>
    </row>
    <row r="1408" spans="1:6" x14ac:dyDescent="0.3">
      <c r="A1408" s="71"/>
      <c r="B1408" s="63"/>
      <c r="C1408" s="63"/>
      <c r="D1408" s="63"/>
      <c r="E1408" s="63"/>
      <c r="F1408" s="63"/>
    </row>
    <row r="1409" spans="1:6" x14ac:dyDescent="0.3">
      <c r="A1409" s="71"/>
      <c r="B1409" s="63"/>
      <c r="C1409" s="63"/>
      <c r="D1409" s="63"/>
      <c r="E1409" s="63"/>
      <c r="F1409" s="63"/>
    </row>
    <row r="1410" spans="1:6" x14ac:dyDescent="0.3">
      <c r="A1410" s="71"/>
      <c r="B1410" s="63"/>
      <c r="C1410" s="63"/>
      <c r="D1410" s="63"/>
      <c r="E1410" s="63"/>
      <c r="F1410" s="63"/>
    </row>
    <row r="1411" spans="1:6" x14ac:dyDescent="0.3">
      <c r="A1411" s="71"/>
      <c r="B1411" s="63"/>
      <c r="C1411" s="63"/>
      <c r="D1411" s="63"/>
      <c r="E1411" s="63"/>
      <c r="F1411" s="63"/>
    </row>
    <row r="1412" spans="1:6" x14ac:dyDescent="0.3">
      <c r="A1412" s="71"/>
      <c r="B1412" s="63"/>
      <c r="C1412" s="63"/>
      <c r="D1412" s="63"/>
      <c r="E1412" s="63"/>
      <c r="F1412" s="63"/>
    </row>
    <row r="1413" spans="1:6" x14ac:dyDescent="0.3">
      <c r="A1413" s="71"/>
      <c r="B1413" s="63"/>
      <c r="C1413" s="63"/>
      <c r="D1413" s="63"/>
      <c r="E1413" s="63"/>
      <c r="F1413" s="63"/>
    </row>
    <row r="1414" spans="1:6" x14ac:dyDescent="0.3">
      <c r="A1414" s="71"/>
      <c r="B1414" s="63"/>
      <c r="C1414" s="63"/>
      <c r="D1414" s="63"/>
      <c r="E1414" s="63"/>
      <c r="F1414" s="63"/>
    </row>
    <row r="1415" spans="1:6" x14ac:dyDescent="0.3">
      <c r="A1415" s="71"/>
      <c r="B1415" s="63"/>
      <c r="C1415" s="63"/>
      <c r="D1415" s="63"/>
      <c r="E1415" s="63"/>
      <c r="F1415" s="63"/>
    </row>
    <row r="1416" spans="1:6" x14ac:dyDescent="0.3">
      <c r="A1416" s="71"/>
      <c r="B1416" s="63"/>
      <c r="C1416" s="63"/>
      <c r="D1416" s="63"/>
      <c r="E1416" s="63"/>
      <c r="F1416" s="63"/>
    </row>
    <row r="1417" spans="1:6" x14ac:dyDescent="0.3">
      <c r="A1417" s="71"/>
      <c r="B1417" s="63"/>
      <c r="C1417" s="63"/>
      <c r="D1417" s="63"/>
      <c r="E1417" s="63"/>
      <c r="F1417" s="63"/>
    </row>
    <row r="1418" spans="1:6" x14ac:dyDescent="0.3">
      <c r="A1418" s="71"/>
      <c r="B1418" s="63"/>
      <c r="C1418" s="63"/>
      <c r="D1418" s="63"/>
      <c r="E1418" s="63"/>
      <c r="F1418" s="63"/>
    </row>
    <row r="1419" spans="1:6" x14ac:dyDescent="0.3">
      <c r="A1419" s="71"/>
      <c r="B1419" s="63"/>
      <c r="C1419" s="63"/>
      <c r="D1419" s="63"/>
      <c r="E1419" s="63"/>
      <c r="F1419" s="63"/>
    </row>
    <row r="1420" spans="1:6" x14ac:dyDescent="0.3">
      <c r="A1420" s="71"/>
      <c r="B1420" s="63"/>
      <c r="C1420" s="63"/>
      <c r="D1420" s="63"/>
      <c r="E1420" s="63"/>
      <c r="F1420" s="63"/>
    </row>
    <row r="1421" spans="1:6" x14ac:dyDescent="0.3">
      <c r="A1421" s="71"/>
      <c r="B1421" s="63"/>
      <c r="C1421" s="63"/>
      <c r="D1421" s="63"/>
      <c r="E1421" s="63"/>
      <c r="F1421" s="63"/>
    </row>
    <row r="1422" spans="1:6" x14ac:dyDescent="0.3">
      <c r="A1422" s="71"/>
      <c r="B1422" s="63"/>
      <c r="C1422" s="63"/>
      <c r="D1422" s="63"/>
      <c r="E1422" s="63"/>
      <c r="F1422" s="63"/>
    </row>
    <row r="1423" spans="1:6" x14ac:dyDescent="0.3">
      <c r="A1423" s="71"/>
      <c r="B1423" s="63"/>
      <c r="C1423" s="63"/>
      <c r="D1423" s="63"/>
      <c r="E1423" s="63"/>
      <c r="F1423" s="63"/>
    </row>
    <row r="1424" spans="1:6" x14ac:dyDescent="0.3">
      <c r="A1424" s="71"/>
      <c r="B1424" s="63"/>
      <c r="C1424" s="63"/>
      <c r="D1424" s="63"/>
      <c r="E1424" s="63"/>
      <c r="F1424" s="63"/>
    </row>
    <row r="1425" spans="1:6" x14ac:dyDescent="0.3">
      <c r="A1425" s="71"/>
      <c r="B1425" s="63"/>
      <c r="C1425" s="63"/>
      <c r="D1425" s="63"/>
      <c r="E1425" s="63"/>
      <c r="F1425" s="63"/>
    </row>
    <row r="1426" spans="1:6" x14ac:dyDescent="0.3">
      <c r="A1426" s="71"/>
      <c r="B1426" s="63"/>
      <c r="C1426" s="63"/>
      <c r="D1426" s="63"/>
      <c r="E1426" s="63"/>
      <c r="F1426" s="63"/>
    </row>
    <row r="1427" spans="1:6" x14ac:dyDescent="0.3">
      <c r="A1427" s="71"/>
      <c r="B1427" s="63"/>
      <c r="C1427" s="63"/>
      <c r="D1427" s="63"/>
      <c r="E1427" s="63"/>
      <c r="F1427" s="63"/>
    </row>
    <row r="1428" spans="1:6" x14ac:dyDescent="0.3">
      <c r="A1428" s="71"/>
      <c r="B1428" s="63"/>
      <c r="C1428" s="63"/>
      <c r="D1428" s="63"/>
      <c r="E1428" s="63"/>
      <c r="F1428" s="63"/>
    </row>
    <row r="1429" spans="1:6" x14ac:dyDescent="0.3">
      <c r="A1429" s="71"/>
      <c r="B1429" s="63"/>
      <c r="C1429" s="63"/>
      <c r="D1429" s="63"/>
      <c r="E1429" s="63"/>
      <c r="F1429" s="63"/>
    </row>
    <row r="1430" spans="1:6" x14ac:dyDescent="0.3">
      <c r="A1430" s="71"/>
      <c r="B1430" s="63"/>
      <c r="C1430" s="63"/>
      <c r="D1430" s="63"/>
      <c r="E1430" s="63"/>
      <c r="F1430" s="63"/>
    </row>
    <row r="1431" spans="1:6" x14ac:dyDescent="0.3">
      <c r="A1431" s="71"/>
      <c r="B1431" s="63"/>
      <c r="C1431" s="63"/>
      <c r="D1431" s="63"/>
      <c r="E1431" s="63"/>
      <c r="F1431" s="63"/>
    </row>
    <row r="1432" spans="1:6" x14ac:dyDescent="0.3">
      <c r="A1432" s="71"/>
      <c r="B1432" s="63"/>
      <c r="C1432" s="63"/>
      <c r="D1432" s="63"/>
      <c r="E1432" s="63"/>
      <c r="F1432" s="63"/>
    </row>
    <row r="1433" spans="1:6" x14ac:dyDescent="0.3">
      <c r="A1433" s="71"/>
      <c r="B1433" s="63"/>
      <c r="C1433" s="63"/>
      <c r="D1433" s="63"/>
      <c r="E1433" s="63"/>
      <c r="F1433" s="63"/>
    </row>
    <row r="1434" spans="1:6" x14ac:dyDescent="0.3">
      <c r="A1434" s="71"/>
      <c r="B1434" s="63"/>
      <c r="C1434" s="63"/>
      <c r="D1434" s="63"/>
      <c r="E1434" s="63"/>
      <c r="F1434" s="63"/>
    </row>
    <row r="1435" spans="1:6" x14ac:dyDescent="0.3">
      <c r="A1435" s="71"/>
      <c r="B1435" s="63"/>
      <c r="C1435" s="63"/>
      <c r="D1435" s="63"/>
      <c r="E1435" s="63"/>
      <c r="F1435" s="63"/>
    </row>
    <row r="1436" spans="1:6" x14ac:dyDescent="0.3">
      <c r="A1436" s="71"/>
      <c r="B1436" s="63"/>
      <c r="C1436" s="63"/>
      <c r="D1436" s="63"/>
      <c r="E1436" s="63"/>
      <c r="F1436" s="63"/>
    </row>
    <row r="1437" spans="1:6" x14ac:dyDescent="0.3">
      <c r="A1437" s="71"/>
      <c r="B1437" s="63"/>
      <c r="C1437" s="63"/>
      <c r="D1437" s="63"/>
      <c r="E1437" s="63"/>
      <c r="F1437" s="63"/>
    </row>
    <row r="1438" spans="1:6" x14ac:dyDescent="0.3">
      <c r="A1438" s="71"/>
      <c r="B1438" s="63"/>
      <c r="C1438" s="63"/>
      <c r="D1438" s="63"/>
      <c r="E1438" s="63"/>
      <c r="F1438" s="63"/>
    </row>
    <row r="1439" spans="1:6" x14ac:dyDescent="0.3">
      <c r="A1439" s="71"/>
      <c r="B1439" s="63"/>
      <c r="C1439" s="63"/>
      <c r="D1439" s="63"/>
      <c r="E1439" s="63"/>
      <c r="F1439" s="63"/>
    </row>
    <row r="1440" spans="1:6" x14ac:dyDescent="0.3">
      <c r="A1440" s="71"/>
      <c r="B1440" s="63"/>
      <c r="C1440" s="63"/>
      <c r="D1440" s="63"/>
      <c r="E1440" s="63"/>
      <c r="F1440" s="63"/>
    </row>
    <row r="1441" spans="1:6" x14ac:dyDescent="0.3">
      <c r="A1441" s="71"/>
      <c r="B1441" s="63"/>
      <c r="C1441" s="63"/>
      <c r="D1441" s="63"/>
      <c r="E1441" s="63"/>
      <c r="F1441" s="63"/>
    </row>
    <row r="1442" spans="1:6" x14ac:dyDescent="0.3">
      <c r="A1442" s="71"/>
      <c r="B1442" s="63"/>
      <c r="C1442" s="63"/>
      <c r="D1442" s="63"/>
      <c r="E1442" s="63"/>
      <c r="F1442" s="63"/>
    </row>
    <row r="1443" spans="1:6" x14ac:dyDescent="0.3">
      <c r="A1443" s="71"/>
      <c r="B1443" s="63"/>
      <c r="C1443" s="63"/>
      <c r="D1443" s="63"/>
      <c r="E1443" s="63"/>
      <c r="F1443" s="63"/>
    </row>
    <row r="1444" spans="1:6" x14ac:dyDescent="0.3">
      <c r="A1444" s="71"/>
      <c r="B1444" s="63"/>
      <c r="C1444" s="63"/>
      <c r="D1444" s="63"/>
      <c r="E1444" s="63"/>
      <c r="F1444" s="63"/>
    </row>
    <row r="1445" spans="1:6" x14ac:dyDescent="0.3">
      <c r="A1445" s="71"/>
      <c r="B1445" s="63"/>
      <c r="C1445" s="63"/>
      <c r="D1445" s="63"/>
      <c r="E1445" s="63"/>
      <c r="F1445" s="63"/>
    </row>
    <row r="1446" spans="1:6" x14ac:dyDescent="0.3">
      <c r="A1446" s="71"/>
      <c r="B1446" s="63"/>
      <c r="C1446" s="63"/>
      <c r="D1446" s="63"/>
      <c r="E1446" s="63"/>
      <c r="F1446" s="63"/>
    </row>
    <row r="1447" spans="1:6" x14ac:dyDescent="0.3">
      <c r="A1447" s="71"/>
      <c r="B1447" s="63"/>
      <c r="C1447" s="63"/>
      <c r="D1447" s="63"/>
      <c r="E1447" s="63"/>
      <c r="F1447" s="63"/>
    </row>
    <row r="1448" spans="1:6" x14ac:dyDescent="0.3">
      <c r="A1448" s="71"/>
      <c r="B1448" s="63"/>
      <c r="C1448" s="63"/>
      <c r="D1448" s="63"/>
      <c r="E1448" s="63"/>
      <c r="F1448" s="63"/>
    </row>
    <row r="1449" spans="1:6" x14ac:dyDescent="0.3">
      <c r="A1449" s="71"/>
      <c r="B1449" s="63"/>
      <c r="C1449" s="63"/>
      <c r="D1449" s="63"/>
      <c r="E1449" s="63"/>
      <c r="F1449" s="63"/>
    </row>
    <row r="1450" spans="1:6" x14ac:dyDescent="0.3">
      <c r="A1450" s="71"/>
      <c r="B1450" s="63"/>
      <c r="C1450" s="63"/>
      <c r="D1450" s="63"/>
      <c r="E1450" s="63"/>
      <c r="F1450" s="63"/>
    </row>
    <row r="1451" spans="1:6" x14ac:dyDescent="0.3">
      <c r="A1451" s="71"/>
      <c r="B1451" s="63"/>
      <c r="C1451" s="63"/>
      <c r="D1451" s="63"/>
      <c r="E1451" s="63"/>
      <c r="F1451" s="63"/>
    </row>
    <row r="1452" spans="1:6" x14ac:dyDescent="0.3">
      <c r="A1452" s="71"/>
      <c r="B1452" s="63"/>
      <c r="C1452" s="63"/>
      <c r="D1452" s="63"/>
      <c r="E1452" s="63"/>
      <c r="F1452" s="63"/>
    </row>
    <row r="1453" spans="1:6" x14ac:dyDescent="0.3">
      <c r="A1453" s="71"/>
      <c r="B1453" s="63"/>
      <c r="C1453" s="63"/>
      <c r="D1453" s="63"/>
      <c r="E1453" s="63"/>
      <c r="F1453" s="63"/>
    </row>
    <row r="1454" spans="1:6" x14ac:dyDescent="0.3">
      <c r="A1454" s="71"/>
      <c r="B1454" s="63"/>
      <c r="C1454" s="63"/>
      <c r="D1454" s="63"/>
      <c r="E1454" s="63"/>
      <c r="F1454" s="63"/>
    </row>
    <row r="1455" spans="1:6" x14ac:dyDescent="0.3">
      <c r="A1455" s="71"/>
      <c r="B1455" s="63"/>
      <c r="C1455" s="63"/>
      <c r="D1455" s="63"/>
      <c r="E1455" s="63"/>
      <c r="F1455" s="63"/>
    </row>
    <row r="1456" spans="1:6" x14ac:dyDescent="0.3">
      <c r="A1456" s="71"/>
      <c r="B1456" s="63"/>
      <c r="C1456" s="63"/>
      <c r="D1456" s="63"/>
      <c r="E1456" s="63"/>
      <c r="F1456" s="63"/>
    </row>
    <row r="1457" spans="1:6" x14ac:dyDescent="0.3">
      <c r="A1457" s="71"/>
      <c r="B1457" s="63"/>
      <c r="C1457" s="63"/>
      <c r="D1457" s="63"/>
      <c r="E1457" s="63"/>
      <c r="F1457" s="63"/>
    </row>
    <row r="1458" spans="1:6" x14ac:dyDescent="0.3">
      <c r="A1458" s="71"/>
      <c r="B1458" s="63"/>
      <c r="C1458" s="63"/>
      <c r="D1458" s="63"/>
      <c r="E1458" s="63"/>
      <c r="F1458" s="63"/>
    </row>
    <row r="1459" spans="1:6" x14ac:dyDescent="0.3">
      <c r="A1459" s="71"/>
      <c r="B1459" s="63"/>
      <c r="C1459" s="63"/>
      <c r="D1459" s="63"/>
      <c r="E1459" s="63"/>
      <c r="F1459" s="63"/>
    </row>
    <row r="1460" spans="1:6" x14ac:dyDescent="0.3">
      <c r="A1460" s="71"/>
      <c r="B1460" s="63"/>
      <c r="C1460" s="63"/>
      <c r="D1460" s="63"/>
      <c r="E1460" s="63"/>
      <c r="F1460" s="63"/>
    </row>
    <row r="1461" spans="1:6" x14ac:dyDescent="0.3">
      <c r="A1461" s="71"/>
      <c r="B1461" s="63"/>
      <c r="C1461" s="63"/>
      <c r="D1461" s="63"/>
      <c r="E1461" s="63"/>
      <c r="F1461" s="63"/>
    </row>
    <row r="1462" spans="1:6" x14ac:dyDescent="0.3">
      <c r="A1462" s="71"/>
      <c r="B1462" s="63"/>
      <c r="C1462" s="63"/>
      <c r="D1462" s="63"/>
      <c r="E1462" s="63"/>
      <c r="F1462" s="63"/>
    </row>
    <row r="1463" spans="1:6" x14ac:dyDescent="0.3">
      <c r="A1463" s="71"/>
      <c r="B1463" s="63"/>
      <c r="C1463" s="63"/>
      <c r="D1463" s="63"/>
      <c r="E1463" s="63"/>
      <c r="F1463" s="63"/>
    </row>
    <row r="1464" spans="1:6" x14ac:dyDescent="0.3">
      <c r="A1464" s="71"/>
      <c r="B1464" s="63"/>
      <c r="C1464" s="63"/>
      <c r="D1464" s="63"/>
      <c r="E1464" s="63"/>
      <c r="F1464" s="63"/>
    </row>
    <row r="1465" spans="1:6" x14ac:dyDescent="0.3">
      <c r="A1465" s="71"/>
      <c r="B1465" s="63"/>
      <c r="C1465" s="63"/>
      <c r="D1465" s="63"/>
      <c r="E1465" s="63"/>
      <c r="F1465" s="63"/>
    </row>
    <row r="1466" spans="1:6" x14ac:dyDescent="0.3">
      <c r="A1466" s="71"/>
      <c r="B1466" s="63"/>
      <c r="C1466" s="63"/>
      <c r="D1466" s="63"/>
      <c r="E1466" s="63"/>
      <c r="F1466" s="63"/>
    </row>
    <row r="1467" spans="1:6" x14ac:dyDescent="0.3">
      <c r="A1467" s="71"/>
      <c r="B1467" s="63"/>
      <c r="C1467" s="63"/>
      <c r="D1467" s="63"/>
      <c r="E1467" s="63"/>
      <c r="F1467" s="63"/>
    </row>
    <row r="1468" spans="1:6" x14ac:dyDescent="0.3">
      <c r="A1468" s="71"/>
      <c r="B1468" s="63"/>
      <c r="C1468" s="63"/>
      <c r="D1468" s="63"/>
      <c r="E1468" s="63"/>
      <c r="F1468" s="63"/>
    </row>
    <row r="1469" spans="1:6" x14ac:dyDescent="0.3">
      <c r="A1469" s="71"/>
      <c r="B1469" s="63"/>
      <c r="C1469" s="63"/>
      <c r="D1469" s="63"/>
      <c r="E1469" s="63"/>
      <c r="F1469" s="63"/>
    </row>
    <row r="1470" spans="1:6" x14ac:dyDescent="0.3">
      <c r="A1470" s="71"/>
      <c r="B1470" s="63"/>
      <c r="C1470" s="63"/>
      <c r="D1470" s="63"/>
      <c r="E1470" s="63"/>
      <c r="F1470" s="63"/>
    </row>
    <row r="1471" spans="1:6" x14ac:dyDescent="0.3">
      <c r="A1471" s="71"/>
      <c r="B1471" s="63"/>
      <c r="C1471" s="63"/>
      <c r="D1471" s="63"/>
      <c r="E1471" s="63"/>
      <c r="F1471" s="63"/>
    </row>
    <row r="1472" spans="1:6" x14ac:dyDescent="0.3">
      <c r="A1472" s="71"/>
      <c r="B1472" s="63"/>
      <c r="C1472" s="63"/>
      <c r="D1472" s="63"/>
      <c r="E1472" s="63"/>
      <c r="F1472" s="63"/>
    </row>
    <row r="1473" spans="1:6" x14ac:dyDescent="0.3">
      <c r="A1473" s="71"/>
      <c r="B1473" s="63"/>
      <c r="C1473" s="63"/>
      <c r="D1473" s="63"/>
      <c r="E1473" s="63"/>
      <c r="F1473" s="63"/>
    </row>
    <row r="1474" spans="1:6" x14ac:dyDescent="0.3">
      <c r="A1474" s="71"/>
      <c r="B1474" s="63"/>
      <c r="C1474" s="63"/>
      <c r="D1474" s="63"/>
      <c r="E1474" s="63"/>
      <c r="F1474" s="63"/>
    </row>
    <row r="1475" spans="1:6" x14ac:dyDescent="0.3">
      <c r="A1475" s="71"/>
      <c r="B1475" s="63"/>
      <c r="C1475" s="63"/>
      <c r="D1475" s="63"/>
      <c r="E1475" s="63"/>
      <c r="F1475" s="63"/>
    </row>
    <row r="1476" spans="1:6" x14ac:dyDescent="0.3">
      <c r="A1476" s="71"/>
      <c r="B1476" s="63"/>
      <c r="C1476" s="63"/>
      <c r="D1476" s="63"/>
      <c r="E1476" s="63"/>
      <c r="F1476" s="63"/>
    </row>
    <row r="1477" spans="1:6" x14ac:dyDescent="0.3">
      <c r="A1477" s="71"/>
      <c r="B1477" s="63"/>
      <c r="C1477" s="63"/>
      <c r="D1477" s="63"/>
      <c r="E1477" s="63"/>
      <c r="F1477" s="63"/>
    </row>
    <row r="1478" spans="1:6" x14ac:dyDescent="0.3">
      <c r="A1478" s="71"/>
      <c r="B1478" s="63"/>
      <c r="C1478" s="63"/>
      <c r="D1478" s="63"/>
      <c r="E1478" s="63"/>
      <c r="F1478" s="63"/>
    </row>
    <row r="1479" spans="1:6" x14ac:dyDescent="0.3">
      <c r="A1479" s="71"/>
      <c r="B1479" s="63"/>
      <c r="C1479" s="63"/>
      <c r="D1479" s="63"/>
      <c r="E1479" s="63"/>
      <c r="F1479" s="63"/>
    </row>
    <row r="1480" spans="1:6" x14ac:dyDescent="0.3">
      <c r="A1480" s="71"/>
      <c r="B1480" s="63"/>
      <c r="C1480" s="63"/>
      <c r="D1480" s="63"/>
      <c r="E1480" s="63"/>
      <c r="F1480" s="63"/>
    </row>
    <row r="1481" spans="1:6" x14ac:dyDescent="0.3">
      <c r="A1481" s="71"/>
      <c r="B1481" s="63"/>
      <c r="C1481" s="63"/>
      <c r="D1481" s="63"/>
      <c r="E1481" s="63"/>
      <c r="F1481" s="63"/>
    </row>
    <row r="1482" spans="1:6" x14ac:dyDescent="0.3">
      <c r="A1482" s="71"/>
      <c r="B1482" s="63"/>
      <c r="C1482" s="63"/>
      <c r="D1482" s="63"/>
      <c r="E1482" s="63"/>
      <c r="F1482" s="63"/>
    </row>
    <row r="1483" spans="1:6" x14ac:dyDescent="0.3">
      <c r="A1483" s="71"/>
      <c r="B1483" s="63"/>
      <c r="C1483" s="63"/>
      <c r="D1483" s="63"/>
      <c r="E1483" s="63"/>
      <c r="F1483" s="63"/>
    </row>
    <row r="1484" spans="1:6" x14ac:dyDescent="0.3">
      <c r="A1484" s="71"/>
      <c r="B1484" s="63"/>
      <c r="C1484" s="63"/>
      <c r="D1484" s="63"/>
      <c r="E1484" s="63"/>
      <c r="F1484" s="63"/>
    </row>
    <row r="1485" spans="1:6" x14ac:dyDescent="0.3">
      <c r="A1485" s="71"/>
      <c r="B1485" s="63"/>
      <c r="C1485" s="63"/>
      <c r="D1485" s="63"/>
      <c r="E1485" s="63"/>
      <c r="F1485" s="63"/>
    </row>
    <row r="1486" spans="1:6" x14ac:dyDescent="0.3">
      <c r="A1486" s="71"/>
      <c r="B1486" s="63"/>
      <c r="C1486" s="63"/>
      <c r="D1486" s="63"/>
      <c r="E1486" s="63"/>
      <c r="F1486" s="63"/>
    </row>
    <row r="1487" spans="1:6" x14ac:dyDescent="0.3">
      <c r="A1487" s="71"/>
      <c r="B1487" s="63"/>
      <c r="C1487" s="63"/>
      <c r="D1487" s="63"/>
      <c r="E1487" s="63"/>
      <c r="F1487" s="63"/>
    </row>
    <row r="1488" spans="1:6" x14ac:dyDescent="0.3">
      <c r="A1488" s="71"/>
      <c r="B1488" s="63"/>
      <c r="C1488" s="63"/>
      <c r="D1488" s="63"/>
      <c r="E1488" s="63"/>
      <c r="F1488" s="63"/>
    </row>
    <row r="1489" spans="1:6" x14ac:dyDescent="0.3">
      <c r="A1489" s="71"/>
      <c r="B1489" s="63"/>
      <c r="C1489" s="63"/>
      <c r="D1489" s="63"/>
      <c r="E1489" s="63"/>
      <c r="F1489" s="63"/>
    </row>
    <row r="1490" spans="1:6" x14ac:dyDescent="0.3">
      <c r="A1490" s="71"/>
      <c r="B1490" s="63"/>
      <c r="C1490" s="63"/>
      <c r="D1490" s="63"/>
      <c r="E1490" s="63"/>
      <c r="F1490" s="63"/>
    </row>
    <row r="1491" spans="1:6" x14ac:dyDescent="0.3">
      <c r="A1491" s="71"/>
      <c r="B1491" s="63"/>
      <c r="C1491" s="63"/>
      <c r="D1491" s="63"/>
      <c r="E1491" s="63"/>
      <c r="F1491" s="63"/>
    </row>
    <row r="1492" spans="1:6" x14ac:dyDescent="0.3">
      <c r="A1492" s="71"/>
      <c r="B1492" s="63"/>
      <c r="C1492" s="63"/>
      <c r="D1492" s="63"/>
      <c r="E1492" s="63"/>
      <c r="F1492" s="63"/>
    </row>
    <row r="1493" spans="1:6" x14ac:dyDescent="0.3">
      <c r="A1493" s="71"/>
      <c r="B1493" s="63"/>
      <c r="C1493" s="63"/>
      <c r="D1493" s="63"/>
      <c r="E1493" s="63"/>
      <c r="F1493" s="63"/>
    </row>
    <row r="1494" spans="1:6" x14ac:dyDescent="0.3">
      <c r="A1494" s="71"/>
      <c r="B1494" s="63"/>
      <c r="C1494" s="63"/>
      <c r="D1494" s="63"/>
      <c r="E1494" s="63"/>
      <c r="F1494" s="63"/>
    </row>
    <row r="1495" spans="1:6" x14ac:dyDescent="0.3">
      <c r="A1495" s="71"/>
      <c r="B1495" s="63"/>
      <c r="C1495" s="63"/>
      <c r="D1495" s="63"/>
      <c r="E1495" s="63"/>
      <c r="F1495" s="63"/>
    </row>
    <row r="1496" spans="1:6" x14ac:dyDescent="0.3">
      <c r="A1496" s="71"/>
      <c r="B1496" s="63"/>
      <c r="C1496" s="63"/>
      <c r="D1496" s="63"/>
      <c r="E1496" s="63"/>
      <c r="F1496" s="63"/>
    </row>
    <row r="1497" spans="1:6" x14ac:dyDescent="0.3">
      <c r="A1497" s="71"/>
      <c r="B1497" s="63"/>
      <c r="C1497" s="63"/>
      <c r="D1497" s="63"/>
      <c r="E1497" s="63"/>
      <c r="F1497" s="63"/>
    </row>
    <row r="1498" spans="1:6" x14ac:dyDescent="0.3">
      <c r="A1498" s="71"/>
      <c r="B1498" s="63"/>
      <c r="C1498" s="63"/>
      <c r="D1498" s="63"/>
      <c r="E1498" s="63"/>
      <c r="F1498" s="63"/>
    </row>
    <row r="1499" spans="1:6" x14ac:dyDescent="0.3">
      <c r="A1499" s="71"/>
      <c r="B1499" s="63"/>
      <c r="C1499" s="63"/>
      <c r="D1499" s="63"/>
      <c r="E1499" s="63"/>
      <c r="F1499" s="63"/>
    </row>
    <row r="1500" spans="1:6" x14ac:dyDescent="0.3">
      <c r="A1500" s="71"/>
      <c r="B1500" s="63"/>
      <c r="C1500" s="63"/>
      <c r="D1500" s="63"/>
      <c r="E1500" s="63"/>
      <c r="F1500" s="63"/>
    </row>
    <row r="1501" spans="1:6" x14ac:dyDescent="0.3">
      <c r="A1501" s="71"/>
      <c r="B1501" s="63"/>
      <c r="C1501" s="63"/>
      <c r="D1501" s="63"/>
      <c r="E1501" s="63"/>
      <c r="F1501" s="63"/>
    </row>
    <row r="1502" spans="1:6" x14ac:dyDescent="0.3">
      <c r="A1502" s="71"/>
      <c r="B1502" s="63"/>
      <c r="C1502" s="63"/>
      <c r="D1502" s="63"/>
      <c r="E1502" s="63"/>
      <c r="F1502" s="63"/>
    </row>
    <row r="1503" spans="1:6" x14ac:dyDescent="0.3">
      <c r="A1503" s="71"/>
      <c r="B1503" s="63"/>
      <c r="C1503" s="63"/>
      <c r="D1503" s="63"/>
      <c r="E1503" s="63"/>
      <c r="F1503" s="63"/>
    </row>
    <row r="1504" spans="1:6" x14ac:dyDescent="0.3">
      <c r="A1504" s="71"/>
      <c r="B1504" s="63"/>
      <c r="C1504" s="63"/>
      <c r="D1504" s="63"/>
      <c r="E1504" s="63"/>
      <c r="F1504" s="63"/>
    </row>
    <row r="1505" spans="1:6" x14ac:dyDescent="0.3">
      <c r="A1505" s="71"/>
      <c r="B1505" s="63"/>
      <c r="C1505" s="63"/>
      <c r="D1505" s="63"/>
      <c r="E1505" s="63"/>
      <c r="F1505" s="63"/>
    </row>
    <row r="1506" spans="1:6" x14ac:dyDescent="0.3">
      <c r="A1506" s="71"/>
      <c r="B1506" s="63"/>
      <c r="C1506" s="63"/>
      <c r="D1506" s="63"/>
      <c r="E1506" s="63"/>
      <c r="F1506" s="63"/>
    </row>
    <row r="1507" spans="1:6" x14ac:dyDescent="0.3">
      <c r="A1507" s="71"/>
      <c r="B1507" s="63"/>
      <c r="C1507" s="63"/>
      <c r="D1507" s="63"/>
      <c r="E1507" s="63"/>
      <c r="F1507" s="63"/>
    </row>
    <row r="1508" spans="1:6" x14ac:dyDescent="0.3">
      <c r="A1508" s="71"/>
      <c r="B1508" s="63"/>
      <c r="C1508" s="63"/>
      <c r="D1508" s="63"/>
      <c r="E1508" s="63"/>
      <c r="F1508" s="63"/>
    </row>
    <row r="1509" spans="1:6" x14ac:dyDescent="0.3">
      <c r="A1509" s="71"/>
      <c r="B1509" s="63"/>
      <c r="C1509" s="63"/>
      <c r="D1509" s="63"/>
      <c r="E1509" s="63"/>
      <c r="F1509" s="63"/>
    </row>
    <row r="1510" spans="1:6" x14ac:dyDescent="0.3">
      <c r="A1510" s="71"/>
      <c r="B1510" s="63"/>
      <c r="C1510" s="63"/>
      <c r="D1510" s="63"/>
      <c r="E1510" s="63"/>
      <c r="F1510" s="63"/>
    </row>
    <row r="1511" spans="1:6" x14ac:dyDescent="0.3">
      <c r="A1511" s="71"/>
      <c r="B1511" s="63"/>
      <c r="C1511" s="63"/>
      <c r="D1511" s="63"/>
      <c r="E1511" s="63"/>
      <c r="F1511" s="63"/>
    </row>
    <row r="1512" spans="1:6" x14ac:dyDescent="0.3">
      <c r="A1512" s="71"/>
      <c r="B1512" s="63"/>
      <c r="C1512" s="63"/>
      <c r="D1512" s="63"/>
      <c r="E1512" s="63"/>
      <c r="F1512" s="63"/>
    </row>
    <row r="1513" spans="1:6" x14ac:dyDescent="0.3">
      <c r="A1513" s="71"/>
      <c r="B1513" s="63"/>
      <c r="C1513" s="63"/>
      <c r="D1513" s="63"/>
      <c r="E1513" s="63"/>
      <c r="F1513" s="63"/>
    </row>
    <row r="1514" spans="1:6" x14ac:dyDescent="0.3">
      <c r="A1514" s="71"/>
      <c r="B1514" s="63"/>
      <c r="C1514" s="63"/>
      <c r="D1514" s="63"/>
      <c r="E1514" s="63"/>
      <c r="F1514" s="63"/>
    </row>
    <row r="1515" spans="1:6" x14ac:dyDescent="0.3">
      <c r="A1515" s="71"/>
      <c r="B1515" s="63"/>
      <c r="C1515" s="63"/>
      <c r="D1515" s="63"/>
      <c r="E1515" s="63"/>
      <c r="F1515" s="63"/>
    </row>
    <row r="1516" spans="1:6" x14ac:dyDescent="0.3">
      <c r="A1516" s="71"/>
      <c r="B1516" s="63"/>
      <c r="C1516" s="63"/>
      <c r="D1516" s="63"/>
      <c r="E1516" s="63"/>
      <c r="F1516" s="63"/>
    </row>
    <row r="1517" spans="1:6" x14ac:dyDescent="0.3">
      <c r="A1517" s="71"/>
      <c r="B1517" s="63"/>
      <c r="C1517" s="63"/>
      <c r="D1517" s="63"/>
      <c r="E1517" s="63"/>
      <c r="F1517" s="63"/>
    </row>
    <row r="1518" spans="1:6" x14ac:dyDescent="0.3">
      <c r="A1518" s="71"/>
      <c r="B1518" s="63"/>
      <c r="C1518" s="63"/>
      <c r="D1518" s="63"/>
      <c r="E1518" s="63"/>
      <c r="F1518" s="63"/>
    </row>
    <row r="1519" spans="1:6" x14ac:dyDescent="0.3">
      <c r="A1519" s="71"/>
      <c r="B1519" s="63"/>
      <c r="C1519" s="63"/>
      <c r="D1519" s="63"/>
      <c r="E1519" s="63"/>
      <c r="F1519" s="63"/>
    </row>
    <row r="1520" spans="1:6" x14ac:dyDescent="0.3">
      <c r="A1520" s="71"/>
      <c r="B1520" s="63"/>
      <c r="C1520" s="63"/>
      <c r="D1520" s="63"/>
      <c r="E1520" s="63"/>
      <c r="F1520" s="63"/>
    </row>
    <row r="1521" spans="1:6" x14ac:dyDescent="0.3">
      <c r="A1521" s="71"/>
      <c r="B1521" s="63"/>
      <c r="C1521" s="63"/>
      <c r="D1521" s="63"/>
      <c r="E1521" s="63"/>
      <c r="F1521" s="63"/>
    </row>
    <row r="1522" spans="1:6" x14ac:dyDescent="0.3">
      <c r="A1522" s="71"/>
      <c r="B1522" s="63"/>
      <c r="C1522" s="63"/>
      <c r="D1522" s="63"/>
      <c r="E1522" s="63"/>
      <c r="F1522" s="63"/>
    </row>
    <row r="1523" spans="1:6" x14ac:dyDescent="0.3">
      <c r="A1523" s="71"/>
      <c r="B1523" s="63"/>
      <c r="C1523" s="63"/>
      <c r="D1523" s="63"/>
      <c r="E1523" s="63"/>
      <c r="F1523" s="63"/>
    </row>
    <row r="1524" spans="1:6" x14ac:dyDescent="0.3">
      <c r="A1524" s="71"/>
      <c r="B1524" s="63"/>
      <c r="C1524" s="63"/>
      <c r="D1524" s="63"/>
      <c r="E1524" s="63"/>
      <c r="F1524" s="63"/>
    </row>
    <row r="1525" spans="1:6" x14ac:dyDescent="0.3">
      <c r="A1525" s="71"/>
      <c r="B1525" s="63"/>
      <c r="C1525" s="63"/>
      <c r="D1525" s="63"/>
      <c r="E1525" s="63"/>
      <c r="F1525" s="63"/>
    </row>
    <row r="1526" spans="1:6" x14ac:dyDescent="0.3">
      <c r="A1526" s="71"/>
      <c r="B1526" s="63"/>
      <c r="C1526" s="63"/>
      <c r="D1526" s="63"/>
      <c r="E1526" s="63"/>
      <c r="F1526" s="63"/>
    </row>
    <row r="1527" spans="1:6" x14ac:dyDescent="0.3">
      <c r="A1527" s="71"/>
      <c r="B1527" s="63"/>
      <c r="C1527" s="63"/>
      <c r="D1527" s="63"/>
      <c r="E1527" s="63"/>
      <c r="F1527" s="63"/>
    </row>
    <row r="1528" spans="1:6" x14ac:dyDescent="0.3">
      <c r="A1528" s="71"/>
      <c r="B1528" s="63"/>
      <c r="C1528" s="63"/>
      <c r="D1528" s="63"/>
      <c r="E1528" s="63"/>
      <c r="F1528" s="63"/>
    </row>
    <row r="1529" spans="1:6" x14ac:dyDescent="0.3">
      <c r="A1529" s="71"/>
      <c r="B1529" s="63"/>
      <c r="C1529" s="63"/>
      <c r="D1529" s="63"/>
      <c r="E1529" s="63"/>
      <c r="F1529" s="63"/>
    </row>
    <row r="1530" spans="1:6" x14ac:dyDescent="0.3">
      <c r="A1530" s="71"/>
      <c r="B1530" s="63"/>
      <c r="C1530" s="63"/>
      <c r="D1530" s="63"/>
      <c r="E1530" s="63"/>
      <c r="F1530" s="63"/>
    </row>
    <row r="1531" spans="1:6" x14ac:dyDescent="0.3">
      <c r="A1531" s="71"/>
      <c r="B1531" s="63"/>
      <c r="C1531" s="63"/>
      <c r="D1531" s="63"/>
      <c r="E1531" s="63"/>
      <c r="F1531" s="63"/>
    </row>
    <row r="1532" spans="1:6" x14ac:dyDescent="0.3">
      <c r="A1532" s="71"/>
      <c r="B1532" s="63"/>
      <c r="C1532" s="63"/>
      <c r="D1532" s="63"/>
      <c r="E1532" s="63"/>
      <c r="F1532" s="63"/>
    </row>
    <row r="1533" spans="1:6" x14ac:dyDescent="0.3">
      <c r="A1533" s="71"/>
      <c r="B1533" s="63"/>
      <c r="C1533" s="63"/>
      <c r="D1533" s="63"/>
      <c r="E1533" s="63"/>
      <c r="F1533" s="63"/>
    </row>
    <row r="1534" spans="1:6" x14ac:dyDescent="0.3">
      <c r="A1534" s="71"/>
      <c r="B1534" s="63"/>
      <c r="C1534" s="63"/>
      <c r="D1534" s="63"/>
      <c r="E1534" s="63"/>
      <c r="F1534" s="63"/>
    </row>
    <row r="1535" spans="1:6" x14ac:dyDescent="0.3">
      <c r="A1535" s="71"/>
      <c r="B1535" s="63"/>
      <c r="C1535" s="63"/>
      <c r="D1535" s="63"/>
      <c r="E1535" s="63"/>
      <c r="F1535" s="63"/>
    </row>
    <row r="1536" spans="1:6" x14ac:dyDescent="0.3">
      <c r="A1536" s="71"/>
      <c r="B1536" s="63"/>
      <c r="C1536" s="63"/>
      <c r="D1536" s="63"/>
      <c r="E1536" s="63"/>
      <c r="F1536" s="63"/>
    </row>
    <row r="1537" spans="1:6" x14ac:dyDescent="0.3">
      <c r="A1537" s="71"/>
      <c r="B1537" s="63"/>
      <c r="C1537" s="63"/>
      <c r="D1537" s="63"/>
      <c r="E1537" s="63"/>
      <c r="F1537" s="63"/>
    </row>
    <row r="1538" spans="1:6" x14ac:dyDescent="0.3">
      <c r="A1538" s="71"/>
      <c r="B1538" s="63"/>
      <c r="C1538" s="63"/>
      <c r="D1538" s="63"/>
      <c r="E1538" s="63"/>
      <c r="F1538" s="63"/>
    </row>
    <row r="1539" spans="1:6" x14ac:dyDescent="0.3">
      <c r="A1539" s="71"/>
      <c r="B1539" s="63"/>
      <c r="C1539" s="63"/>
      <c r="D1539" s="63"/>
      <c r="E1539" s="63"/>
      <c r="F1539" s="63"/>
    </row>
    <row r="1540" spans="1:6" x14ac:dyDescent="0.3">
      <c r="A1540" s="71"/>
      <c r="B1540" s="63"/>
      <c r="C1540" s="63"/>
      <c r="D1540" s="63"/>
      <c r="E1540" s="63"/>
      <c r="F1540" s="63"/>
    </row>
    <row r="1541" spans="1:6" x14ac:dyDescent="0.3">
      <c r="A1541" s="71"/>
      <c r="B1541" s="63"/>
      <c r="C1541" s="63"/>
      <c r="D1541" s="63"/>
      <c r="E1541" s="63"/>
      <c r="F1541" s="63"/>
    </row>
    <row r="1542" spans="1:6" x14ac:dyDescent="0.3">
      <c r="A1542" s="71"/>
      <c r="B1542" s="63"/>
      <c r="C1542" s="63"/>
      <c r="D1542" s="63"/>
      <c r="E1542" s="63"/>
      <c r="F1542" s="63"/>
    </row>
    <row r="1543" spans="1:6" x14ac:dyDescent="0.3">
      <c r="A1543" s="71"/>
      <c r="B1543" s="63"/>
      <c r="C1543" s="63"/>
      <c r="D1543" s="63"/>
      <c r="E1543" s="63"/>
      <c r="F1543" s="63"/>
    </row>
    <row r="1544" spans="1:6" x14ac:dyDescent="0.3">
      <c r="A1544" s="71"/>
      <c r="B1544" s="63"/>
      <c r="C1544" s="63"/>
      <c r="D1544" s="63"/>
      <c r="E1544" s="63"/>
      <c r="F1544" s="63"/>
    </row>
    <row r="1545" spans="1:6" x14ac:dyDescent="0.3">
      <c r="A1545" s="71"/>
      <c r="B1545" s="63"/>
      <c r="C1545" s="63"/>
      <c r="D1545" s="63"/>
      <c r="E1545" s="63"/>
      <c r="F1545" s="63"/>
    </row>
    <row r="1546" spans="1:6" x14ac:dyDescent="0.3">
      <c r="A1546" s="71"/>
      <c r="B1546" s="63"/>
      <c r="C1546" s="63"/>
      <c r="D1546" s="63"/>
      <c r="E1546" s="63"/>
      <c r="F1546" s="63"/>
    </row>
    <row r="1547" spans="1:6" x14ac:dyDescent="0.3">
      <c r="A1547" s="71"/>
      <c r="B1547" s="63"/>
      <c r="C1547" s="63"/>
      <c r="D1547" s="63"/>
      <c r="E1547" s="63"/>
      <c r="F1547" s="63"/>
    </row>
    <row r="1548" spans="1:6" x14ac:dyDescent="0.3">
      <c r="A1548" s="71"/>
      <c r="B1548" s="63"/>
      <c r="C1548" s="63"/>
      <c r="D1548" s="63"/>
      <c r="E1548" s="63"/>
      <c r="F1548" s="63"/>
    </row>
    <row r="1549" spans="1:6" x14ac:dyDescent="0.3">
      <c r="A1549" s="71"/>
      <c r="B1549" s="63"/>
      <c r="C1549" s="63"/>
      <c r="D1549" s="63"/>
      <c r="E1549" s="63"/>
      <c r="F1549" s="63"/>
    </row>
    <row r="1550" spans="1:6" x14ac:dyDescent="0.3">
      <c r="A1550" s="71"/>
      <c r="B1550" s="63"/>
      <c r="C1550" s="63"/>
      <c r="D1550" s="63"/>
      <c r="E1550" s="63"/>
      <c r="F1550" s="63"/>
    </row>
    <row r="1551" spans="1:6" x14ac:dyDescent="0.3">
      <c r="A1551" s="71"/>
      <c r="B1551" s="63"/>
      <c r="C1551" s="63"/>
      <c r="D1551" s="63"/>
      <c r="E1551" s="63"/>
      <c r="F1551" s="63"/>
    </row>
    <row r="1552" spans="1:6" x14ac:dyDescent="0.3">
      <c r="A1552" s="71"/>
      <c r="B1552" s="63"/>
      <c r="C1552" s="63"/>
      <c r="D1552" s="63"/>
      <c r="E1552" s="63"/>
      <c r="F1552" s="63"/>
    </row>
    <row r="1553" spans="1:6" x14ac:dyDescent="0.3">
      <c r="A1553" s="71"/>
      <c r="B1553" s="63"/>
      <c r="C1553" s="63"/>
      <c r="D1553" s="63"/>
      <c r="E1553" s="63"/>
      <c r="F1553" s="63"/>
    </row>
    <row r="1554" spans="1:6" x14ac:dyDescent="0.3">
      <c r="A1554" s="71"/>
      <c r="B1554" s="63"/>
      <c r="C1554" s="63"/>
      <c r="D1554" s="63"/>
      <c r="E1554" s="63"/>
      <c r="F1554" s="63"/>
    </row>
    <row r="1555" spans="1:6" x14ac:dyDescent="0.3">
      <c r="A1555" s="71"/>
      <c r="B1555" s="63"/>
      <c r="C1555" s="63"/>
      <c r="D1555" s="63"/>
      <c r="E1555" s="63"/>
      <c r="F1555" s="63"/>
    </row>
    <row r="1556" spans="1:6" x14ac:dyDescent="0.3">
      <c r="A1556" s="71"/>
      <c r="B1556" s="63"/>
      <c r="C1556" s="63"/>
      <c r="D1556" s="63"/>
      <c r="E1556" s="63"/>
      <c r="F1556" s="63"/>
    </row>
    <row r="1557" spans="1:6" x14ac:dyDescent="0.3">
      <c r="A1557" s="71"/>
      <c r="B1557" s="63"/>
      <c r="C1557" s="63"/>
      <c r="D1557" s="63"/>
      <c r="E1557" s="63"/>
      <c r="F1557" s="63"/>
    </row>
    <row r="1558" spans="1:6" x14ac:dyDescent="0.3">
      <c r="A1558" s="71"/>
      <c r="B1558" s="63"/>
      <c r="C1558" s="63"/>
      <c r="D1558" s="63"/>
      <c r="E1558" s="63"/>
      <c r="F1558" s="63"/>
    </row>
    <row r="1559" spans="1:6" x14ac:dyDescent="0.3">
      <c r="A1559" s="71"/>
      <c r="B1559" s="63"/>
      <c r="C1559" s="63"/>
      <c r="D1559" s="63"/>
      <c r="E1559" s="63"/>
      <c r="F1559" s="63"/>
    </row>
    <row r="1560" spans="1:6" x14ac:dyDescent="0.3">
      <c r="A1560" s="71"/>
      <c r="B1560" s="63"/>
      <c r="C1560" s="63"/>
      <c r="D1560" s="63"/>
      <c r="E1560" s="63"/>
      <c r="F1560" s="63"/>
    </row>
    <row r="1561" spans="1:6" x14ac:dyDescent="0.3">
      <c r="A1561" s="71"/>
      <c r="B1561" s="63"/>
      <c r="C1561" s="63"/>
      <c r="D1561" s="63"/>
      <c r="E1561" s="63"/>
      <c r="F1561" s="63"/>
    </row>
    <row r="1562" spans="1:6" x14ac:dyDescent="0.3">
      <c r="A1562" s="71"/>
      <c r="B1562" s="63"/>
      <c r="C1562" s="63"/>
      <c r="D1562" s="63"/>
      <c r="E1562" s="63"/>
      <c r="F1562" s="63"/>
    </row>
    <row r="1563" spans="1:6" x14ac:dyDescent="0.3">
      <c r="A1563" s="71"/>
      <c r="B1563" s="63"/>
      <c r="C1563" s="63"/>
      <c r="D1563" s="63"/>
      <c r="E1563" s="63"/>
      <c r="F1563" s="63"/>
    </row>
    <row r="1564" spans="1:6" x14ac:dyDescent="0.3">
      <c r="A1564" s="71"/>
      <c r="B1564" s="63"/>
      <c r="C1564" s="63"/>
      <c r="D1564" s="63"/>
      <c r="E1564" s="63"/>
      <c r="F1564" s="63"/>
    </row>
    <row r="1565" spans="1:6" x14ac:dyDescent="0.3">
      <c r="A1565" s="71"/>
      <c r="B1565" s="63"/>
      <c r="C1565" s="63"/>
      <c r="D1565" s="63"/>
      <c r="E1565" s="63"/>
      <c r="F1565" s="63"/>
    </row>
    <row r="1566" spans="1:6" x14ac:dyDescent="0.3">
      <c r="A1566" s="71"/>
      <c r="B1566" s="63"/>
      <c r="C1566" s="63"/>
      <c r="D1566" s="63"/>
      <c r="E1566" s="63"/>
      <c r="F1566" s="63"/>
    </row>
    <row r="1567" spans="1:6" x14ac:dyDescent="0.3">
      <c r="A1567" s="71"/>
      <c r="B1567" s="63"/>
      <c r="C1567" s="63"/>
      <c r="D1567" s="63"/>
      <c r="E1567" s="63"/>
      <c r="F1567" s="63"/>
    </row>
    <row r="1568" spans="1:6" x14ac:dyDescent="0.3">
      <c r="A1568" s="71"/>
      <c r="B1568" s="63"/>
      <c r="C1568" s="63"/>
      <c r="D1568" s="63"/>
      <c r="E1568" s="63"/>
      <c r="F1568" s="63"/>
    </row>
    <row r="1569" spans="1:6" x14ac:dyDescent="0.3">
      <c r="A1569" s="71"/>
      <c r="B1569" s="63"/>
      <c r="C1569" s="63"/>
      <c r="D1569" s="63"/>
      <c r="E1569" s="63"/>
      <c r="F1569" s="63"/>
    </row>
    <row r="1570" spans="1:6" x14ac:dyDescent="0.3">
      <c r="A1570" s="71"/>
      <c r="B1570" s="63"/>
      <c r="C1570" s="63"/>
      <c r="D1570" s="63"/>
      <c r="E1570" s="63"/>
      <c r="F1570" s="63"/>
    </row>
    <row r="1571" spans="1:6" x14ac:dyDescent="0.3">
      <c r="A1571" s="71"/>
      <c r="B1571" s="63"/>
      <c r="C1571" s="63"/>
      <c r="D1571" s="63"/>
      <c r="E1571" s="63"/>
      <c r="F1571" s="63"/>
    </row>
    <row r="1572" spans="1:6" x14ac:dyDescent="0.3">
      <c r="A1572" s="71"/>
      <c r="B1572" s="63"/>
      <c r="C1572" s="63"/>
      <c r="D1572" s="63"/>
      <c r="E1572" s="63"/>
      <c r="F1572" s="63"/>
    </row>
    <row r="1573" spans="1:6" x14ac:dyDescent="0.3">
      <c r="A1573" s="71"/>
      <c r="B1573" s="63"/>
      <c r="C1573" s="63"/>
      <c r="D1573" s="63"/>
      <c r="E1573" s="63"/>
      <c r="F1573" s="63"/>
    </row>
    <row r="1574" spans="1:6" x14ac:dyDescent="0.3">
      <c r="A1574" s="71"/>
      <c r="B1574" s="63"/>
      <c r="C1574" s="63"/>
      <c r="D1574" s="63"/>
      <c r="E1574" s="63"/>
      <c r="F1574" s="63"/>
    </row>
    <row r="1575" spans="1:6" x14ac:dyDescent="0.3">
      <c r="A1575" s="71"/>
      <c r="B1575" s="63"/>
      <c r="C1575" s="63"/>
      <c r="D1575" s="63"/>
      <c r="E1575" s="63"/>
      <c r="F1575" s="63"/>
    </row>
    <row r="1576" spans="1:6" x14ac:dyDescent="0.3">
      <c r="A1576" s="71"/>
      <c r="B1576" s="63"/>
      <c r="C1576" s="63"/>
      <c r="D1576" s="63"/>
      <c r="E1576" s="63"/>
      <c r="F1576" s="63"/>
    </row>
    <row r="1577" spans="1:6" x14ac:dyDescent="0.3">
      <c r="A1577" s="71"/>
      <c r="B1577" s="63"/>
      <c r="C1577" s="63"/>
      <c r="D1577" s="63"/>
      <c r="E1577" s="63"/>
      <c r="F1577" s="63"/>
    </row>
    <row r="1578" spans="1:6" x14ac:dyDescent="0.3">
      <c r="A1578" s="71"/>
      <c r="B1578" s="63"/>
      <c r="C1578" s="63"/>
      <c r="D1578" s="63"/>
      <c r="E1578" s="63"/>
      <c r="F1578" s="63"/>
    </row>
    <row r="1579" spans="1:6" x14ac:dyDescent="0.3">
      <c r="A1579" s="71"/>
      <c r="B1579" s="63"/>
      <c r="C1579" s="63"/>
      <c r="D1579" s="63"/>
      <c r="E1579" s="63"/>
      <c r="F1579" s="63"/>
    </row>
    <row r="1580" spans="1:6" x14ac:dyDescent="0.3">
      <c r="A1580" s="71"/>
      <c r="B1580" s="63"/>
      <c r="C1580" s="63"/>
      <c r="D1580" s="63"/>
      <c r="E1580" s="63"/>
      <c r="F1580" s="63"/>
    </row>
    <row r="1581" spans="1:6" x14ac:dyDescent="0.3">
      <c r="A1581" s="71"/>
      <c r="B1581" s="63"/>
      <c r="C1581" s="63"/>
      <c r="D1581" s="63"/>
      <c r="E1581" s="63"/>
      <c r="F1581" s="63"/>
    </row>
    <row r="1582" spans="1:6" x14ac:dyDescent="0.3">
      <c r="A1582" s="71"/>
      <c r="B1582" s="63"/>
      <c r="C1582" s="63"/>
      <c r="D1582" s="63"/>
      <c r="E1582" s="63"/>
      <c r="F1582" s="63"/>
    </row>
    <row r="1583" spans="1:6" x14ac:dyDescent="0.3">
      <c r="A1583" s="71"/>
      <c r="B1583" s="63"/>
      <c r="C1583" s="63"/>
      <c r="D1583" s="63"/>
      <c r="E1583" s="63"/>
      <c r="F1583" s="63"/>
    </row>
    <row r="1584" spans="1:6" x14ac:dyDescent="0.3">
      <c r="A1584" s="71"/>
      <c r="B1584" s="63"/>
      <c r="C1584" s="63"/>
      <c r="D1584" s="63"/>
      <c r="E1584" s="63"/>
      <c r="F1584" s="63"/>
    </row>
    <row r="1585" spans="1:6" x14ac:dyDescent="0.3">
      <c r="A1585" s="71"/>
      <c r="B1585" s="63"/>
      <c r="C1585" s="63"/>
      <c r="D1585" s="63"/>
      <c r="E1585" s="63"/>
      <c r="F1585" s="63"/>
    </row>
    <row r="1586" spans="1:6" x14ac:dyDescent="0.3">
      <c r="A1586" s="71"/>
      <c r="B1586" s="63"/>
      <c r="C1586" s="63"/>
      <c r="D1586" s="63"/>
      <c r="E1586" s="63"/>
      <c r="F1586" s="63"/>
    </row>
    <row r="1587" spans="1:6" x14ac:dyDescent="0.3">
      <c r="A1587" s="71"/>
      <c r="B1587" s="63"/>
      <c r="C1587" s="63"/>
      <c r="D1587" s="63"/>
      <c r="E1587" s="63"/>
      <c r="F1587" s="63"/>
    </row>
    <row r="1588" spans="1:6" x14ac:dyDescent="0.3">
      <c r="A1588" s="71"/>
      <c r="B1588" s="63"/>
      <c r="C1588" s="63"/>
      <c r="D1588" s="63"/>
      <c r="E1588" s="63"/>
      <c r="F1588" s="63"/>
    </row>
    <row r="1589" spans="1:6" x14ac:dyDescent="0.3">
      <c r="A1589" s="71"/>
      <c r="B1589" s="63"/>
      <c r="C1589" s="63"/>
      <c r="D1589" s="63"/>
      <c r="E1589" s="63"/>
      <c r="F1589" s="63"/>
    </row>
    <row r="1590" spans="1:6" x14ac:dyDescent="0.3">
      <c r="A1590" s="71"/>
      <c r="B1590" s="63"/>
      <c r="C1590" s="63"/>
      <c r="D1590" s="63"/>
      <c r="E1590" s="63"/>
      <c r="F1590" s="63"/>
    </row>
    <row r="1591" spans="1:6" x14ac:dyDescent="0.3">
      <c r="A1591" s="71"/>
      <c r="B1591" s="63"/>
      <c r="C1591" s="63"/>
      <c r="D1591" s="63"/>
      <c r="E1591" s="63"/>
      <c r="F1591" s="63"/>
    </row>
    <row r="1592" spans="1:6" x14ac:dyDescent="0.3">
      <c r="A1592" s="71"/>
      <c r="B1592" s="63"/>
      <c r="C1592" s="63"/>
      <c r="D1592" s="63"/>
      <c r="E1592" s="63"/>
      <c r="F1592" s="63"/>
    </row>
    <row r="1593" spans="1:6" x14ac:dyDescent="0.3">
      <c r="A1593" s="71"/>
      <c r="B1593" s="63"/>
      <c r="C1593" s="63"/>
      <c r="D1593" s="63"/>
      <c r="E1593" s="63"/>
      <c r="F1593" s="63"/>
    </row>
    <row r="1594" spans="1:6" x14ac:dyDescent="0.3">
      <c r="A1594" s="71"/>
      <c r="B1594" s="63"/>
      <c r="C1594" s="63"/>
      <c r="D1594" s="63"/>
      <c r="E1594" s="63"/>
      <c r="F1594" s="63"/>
    </row>
    <row r="1595" spans="1:6" x14ac:dyDescent="0.3">
      <c r="A1595" s="71"/>
      <c r="B1595" s="63"/>
      <c r="C1595" s="63"/>
      <c r="D1595" s="63"/>
      <c r="E1595" s="63"/>
      <c r="F1595" s="63"/>
    </row>
    <row r="1596" spans="1:6" x14ac:dyDescent="0.3">
      <c r="A1596" s="71"/>
      <c r="B1596" s="63"/>
      <c r="C1596" s="63"/>
      <c r="D1596" s="63"/>
      <c r="E1596" s="63"/>
      <c r="F1596" s="63"/>
    </row>
    <row r="1597" spans="1:6" x14ac:dyDescent="0.3">
      <c r="A1597" s="71"/>
      <c r="B1597" s="63"/>
      <c r="C1597" s="63"/>
      <c r="D1597" s="63"/>
      <c r="E1597" s="63"/>
      <c r="F1597" s="63"/>
    </row>
    <row r="1598" spans="1:6" x14ac:dyDescent="0.3">
      <c r="A1598" s="71"/>
      <c r="B1598" s="63"/>
      <c r="C1598" s="63"/>
      <c r="D1598" s="63"/>
      <c r="E1598" s="63"/>
      <c r="F1598" s="63"/>
    </row>
    <row r="1599" spans="1:6" x14ac:dyDescent="0.3">
      <c r="A1599" s="71"/>
      <c r="B1599" s="63"/>
      <c r="C1599" s="63"/>
      <c r="D1599" s="63"/>
      <c r="E1599" s="63"/>
      <c r="F1599" s="63"/>
    </row>
    <row r="1600" spans="1:6" x14ac:dyDescent="0.3">
      <c r="A1600" s="71"/>
      <c r="B1600" s="63"/>
      <c r="C1600" s="63"/>
      <c r="D1600" s="63"/>
      <c r="E1600" s="63"/>
      <c r="F1600" s="63"/>
    </row>
    <row r="1601" spans="1:6" x14ac:dyDescent="0.3">
      <c r="A1601" s="71"/>
      <c r="B1601" s="63"/>
      <c r="C1601" s="63"/>
      <c r="D1601" s="63"/>
      <c r="E1601" s="63"/>
      <c r="F1601" s="63"/>
    </row>
    <row r="1602" spans="1:6" x14ac:dyDescent="0.3">
      <c r="A1602" s="71"/>
      <c r="B1602" s="63"/>
      <c r="C1602" s="63"/>
      <c r="D1602" s="63"/>
      <c r="E1602" s="63"/>
      <c r="F1602" s="63"/>
    </row>
    <row r="1603" spans="1:6" x14ac:dyDescent="0.3">
      <c r="A1603" s="71"/>
      <c r="B1603" s="63"/>
      <c r="C1603" s="63"/>
      <c r="D1603" s="63"/>
      <c r="E1603" s="63"/>
      <c r="F1603" s="63"/>
    </row>
    <row r="1604" spans="1:6" x14ac:dyDescent="0.3">
      <c r="A1604" s="71"/>
      <c r="B1604" s="63"/>
      <c r="C1604" s="63"/>
      <c r="D1604" s="63"/>
      <c r="E1604" s="63"/>
      <c r="F1604" s="63"/>
    </row>
    <row r="1605" spans="1:6" x14ac:dyDescent="0.3">
      <c r="A1605" s="71"/>
      <c r="B1605" s="63"/>
      <c r="C1605" s="63"/>
      <c r="D1605" s="63"/>
      <c r="E1605" s="63"/>
      <c r="F1605" s="63"/>
    </row>
    <row r="1606" spans="1:6" x14ac:dyDescent="0.3">
      <c r="A1606" s="71"/>
      <c r="B1606" s="63"/>
      <c r="C1606" s="63"/>
      <c r="D1606" s="63"/>
      <c r="E1606" s="63"/>
      <c r="F1606" s="63"/>
    </row>
    <row r="1607" spans="1:6" x14ac:dyDescent="0.3">
      <c r="A1607" s="71"/>
      <c r="B1607" s="63"/>
      <c r="C1607" s="63"/>
      <c r="D1607" s="63"/>
      <c r="E1607" s="63"/>
      <c r="F1607" s="63"/>
    </row>
    <row r="1608" spans="1:6" x14ac:dyDescent="0.3">
      <c r="A1608" s="71"/>
      <c r="B1608" s="63"/>
      <c r="C1608" s="63"/>
      <c r="D1608" s="63"/>
      <c r="E1608" s="63"/>
      <c r="F1608" s="63"/>
    </row>
    <row r="1609" spans="1:6" x14ac:dyDescent="0.3">
      <c r="A1609" s="71"/>
      <c r="B1609" s="63"/>
      <c r="C1609" s="63"/>
      <c r="D1609" s="63"/>
      <c r="E1609" s="63"/>
      <c r="F1609" s="63"/>
    </row>
    <row r="1610" spans="1:6" x14ac:dyDescent="0.3">
      <c r="A1610" s="71"/>
      <c r="B1610" s="63"/>
      <c r="C1610" s="63"/>
      <c r="D1610" s="63"/>
      <c r="E1610" s="63"/>
      <c r="F1610" s="63"/>
    </row>
    <row r="1611" spans="1:6" x14ac:dyDescent="0.3">
      <c r="A1611" s="71"/>
      <c r="B1611" s="63"/>
      <c r="C1611" s="63"/>
      <c r="D1611" s="63"/>
      <c r="E1611" s="63"/>
      <c r="F1611" s="63"/>
    </row>
    <row r="1612" spans="1:6" x14ac:dyDescent="0.3">
      <c r="A1612" s="71"/>
      <c r="B1612" s="63"/>
      <c r="C1612" s="63"/>
      <c r="D1612" s="63"/>
      <c r="E1612" s="63"/>
      <c r="F1612" s="63"/>
    </row>
    <row r="1613" spans="1:6" x14ac:dyDescent="0.3">
      <c r="A1613" s="71"/>
      <c r="B1613" s="63"/>
      <c r="C1613" s="63"/>
      <c r="D1613" s="63"/>
      <c r="E1613" s="63"/>
      <c r="F1613" s="63"/>
    </row>
    <row r="1614" spans="1:6" x14ac:dyDescent="0.3">
      <c r="A1614" s="71"/>
      <c r="B1614" s="63"/>
      <c r="C1614" s="63"/>
      <c r="D1614" s="63"/>
      <c r="E1614" s="63"/>
      <c r="F1614" s="63"/>
    </row>
    <row r="1615" spans="1:6" x14ac:dyDescent="0.3">
      <c r="A1615" s="71"/>
      <c r="B1615" s="63"/>
      <c r="C1615" s="63"/>
      <c r="D1615" s="63"/>
      <c r="E1615" s="63"/>
      <c r="F1615" s="63"/>
    </row>
    <row r="1616" spans="1:6" x14ac:dyDescent="0.3">
      <c r="A1616" s="71"/>
      <c r="B1616" s="63"/>
      <c r="C1616" s="63"/>
      <c r="D1616" s="63"/>
      <c r="E1616" s="63"/>
      <c r="F1616" s="63"/>
    </row>
    <row r="1617" spans="1:6" x14ac:dyDescent="0.3">
      <c r="A1617" s="71"/>
      <c r="B1617" s="63"/>
      <c r="C1617" s="63"/>
      <c r="D1617" s="63"/>
      <c r="E1617" s="63"/>
      <c r="F1617" s="63"/>
    </row>
    <row r="1618" spans="1:6" x14ac:dyDescent="0.3">
      <c r="A1618" s="71"/>
      <c r="B1618" s="63"/>
      <c r="C1618" s="63"/>
      <c r="D1618" s="63"/>
      <c r="E1618" s="63"/>
      <c r="F1618" s="63"/>
    </row>
    <row r="1619" spans="1:6" x14ac:dyDescent="0.3">
      <c r="A1619" s="71"/>
      <c r="B1619" s="63"/>
      <c r="C1619" s="63"/>
      <c r="D1619" s="63"/>
      <c r="E1619" s="63"/>
      <c r="F1619" s="63"/>
    </row>
    <row r="1620" spans="1:6" x14ac:dyDescent="0.3">
      <c r="A1620" s="71"/>
      <c r="B1620" s="63"/>
      <c r="C1620" s="63"/>
      <c r="D1620" s="63"/>
      <c r="E1620" s="63"/>
      <c r="F1620" s="63"/>
    </row>
    <row r="1621" spans="1:6" x14ac:dyDescent="0.3">
      <c r="A1621" s="71"/>
      <c r="B1621" s="63"/>
      <c r="C1621" s="63"/>
      <c r="D1621" s="63"/>
      <c r="E1621" s="63"/>
      <c r="F1621" s="63"/>
    </row>
    <row r="1622" spans="1:6" x14ac:dyDescent="0.3">
      <c r="A1622" s="71"/>
      <c r="B1622" s="63"/>
      <c r="C1622" s="63"/>
      <c r="D1622" s="63"/>
      <c r="E1622" s="63"/>
      <c r="F1622" s="63"/>
    </row>
    <row r="1623" spans="1:6" x14ac:dyDescent="0.3">
      <c r="A1623" s="71"/>
      <c r="B1623" s="63"/>
      <c r="C1623" s="63"/>
      <c r="D1623" s="63"/>
      <c r="E1623" s="63"/>
      <c r="F1623" s="63"/>
    </row>
    <row r="1624" spans="1:6" x14ac:dyDescent="0.3">
      <c r="A1624" s="71"/>
      <c r="B1624" s="63"/>
      <c r="C1624" s="63"/>
      <c r="D1624" s="63"/>
      <c r="E1624" s="63"/>
      <c r="F1624" s="63"/>
    </row>
    <row r="1625" spans="1:6" x14ac:dyDescent="0.3">
      <c r="A1625" s="71"/>
      <c r="B1625" s="63"/>
      <c r="C1625" s="63"/>
      <c r="D1625" s="63"/>
      <c r="E1625" s="63"/>
      <c r="F1625" s="63"/>
    </row>
    <row r="1626" spans="1:6" x14ac:dyDescent="0.3">
      <c r="A1626" s="71"/>
      <c r="B1626" s="63"/>
      <c r="C1626" s="63"/>
      <c r="D1626" s="63"/>
      <c r="E1626" s="63"/>
      <c r="F1626" s="63"/>
    </row>
    <row r="1627" spans="1:6" x14ac:dyDescent="0.3">
      <c r="A1627" s="71"/>
      <c r="B1627" s="63"/>
      <c r="C1627" s="63"/>
      <c r="D1627" s="63"/>
      <c r="E1627" s="63"/>
      <c r="F1627" s="63"/>
    </row>
    <row r="1628" spans="1:6" x14ac:dyDescent="0.3">
      <c r="A1628" s="71"/>
      <c r="B1628" s="63"/>
      <c r="C1628" s="63"/>
      <c r="D1628" s="63"/>
      <c r="E1628" s="63"/>
      <c r="F1628" s="63"/>
    </row>
    <row r="1629" spans="1:6" x14ac:dyDescent="0.3">
      <c r="A1629" s="71"/>
      <c r="B1629" s="63"/>
      <c r="C1629" s="63"/>
      <c r="D1629" s="63"/>
      <c r="E1629" s="63"/>
      <c r="F1629" s="63"/>
    </row>
    <row r="1630" spans="1:6" x14ac:dyDescent="0.3">
      <c r="A1630" s="71"/>
      <c r="B1630" s="63"/>
      <c r="C1630" s="63"/>
      <c r="D1630" s="63"/>
      <c r="E1630" s="63"/>
      <c r="F1630" s="63"/>
    </row>
    <row r="1631" spans="1:6" x14ac:dyDescent="0.3">
      <c r="A1631" s="71"/>
      <c r="B1631" s="63"/>
      <c r="C1631" s="63"/>
      <c r="D1631" s="63"/>
      <c r="E1631" s="63"/>
      <c r="F1631" s="63"/>
    </row>
    <row r="1632" spans="1:6" x14ac:dyDescent="0.3">
      <c r="A1632" s="71"/>
      <c r="B1632" s="63"/>
      <c r="C1632" s="63"/>
      <c r="D1632" s="63"/>
      <c r="E1632" s="63"/>
      <c r="F1632" s="63"/>
    </row>
    <row r="1633" spans="1:6" x14ac:dyDescent="0.3">
      <c r="A1633" s="71"/>
      <c r="B1633" s="63"/>
      <c r="C1633" s="63"/>
      <c r="D1633" s="63"/>
      <c r="E1633" s="63"/>
      <c r="F1633" s="63"/>
    </row>
    <row r="1634" spans="1:6" x14ac:dyDescent="0.3">
      <c r="A1634" s="71"/>
      <c r="B1634" s="63"/>
      <c r="C1634" s="63"/>
      <c r="D1634" s="63"/>
      <c r="E1634" s="63"/>
      <c r="F1634" s="63"/>
    </row>
    <row r="1635" spans="1:6" x14ac:dyDescent="0.3">
      <c r="A1635" s="71"/>
      <c r="B1635" s="63"/>
      <c r="C1635" s="63"/>
      <c r="D1635" s="63"/>
      <c r="E1635" s="63"/>
      <c r="F1635" s="63"/>
    </row>
    <row r="1636" spans="1:6" x14ac:dyDescent="0.3">
      <c r="A1636" s="71"/>
      <c r="B1636" s="63"/>
      <c r="C1636" s="63"/>
      <c r="D1636" s="63"/>
      <c r="E1636" s="63"/>
      <c r="F1636" s="63"/>
    </row>
    <row r="1637" spans="1:6" x14ac:dyDescent="0.3">
      <c r="A1637" s="71"/>
      <c r="B1637" s="63"/>
      <c r="C1637" s="63"/>
      <c r="D1637" s="63"/>
      <c r="E1637" s="63"/>
      <c r="F1637" s="63"/>
    </row>
    <row r="1638" spans="1:6" x14ac:dyDescent="0.3">
      <c r="A1638" s="71"/>
      <c r="B1638" s="63"/>
      <c r="C1638" s="63"/>
      <c r="D1638" s="63"/>
      <c r="E1638" s="63"/>
      <c r="F1638" s="63"/>
    </row>
    <row r="1639" spans="1:6" x14ac:dyDescent="0.3">
      <c r="A1639" s="71"/>
      <c r="B1639" s="63"/>
      <c r="C1639" s="63"/>
      <c r="D1639" s="63"/>
      <c r="E1639" s="63"/>
      <c r="F1639" s="63"/>
    </row>
    <row r="1640" spans="1:6" x14ac:dyDescent="0.3">
      <c r="A1640" s="71"/>
      <c r="B1640" s="63"/>
      <c r="C1640" s="63"/>
      <c r="D1640" s="63"/>
      <c r="E1640" s="63"/>
      <c r="F1640" s="63"/>
    </row>
    <row r="1641" spans="1:6" x14ac:dyDescent="0.3">
      <c r="A1641" s="71"/>
      <c r="B1641" s="63"/>
      <c r="C1641" s="63"/>
      <c r="D1641" s="63"/>
      <c r="E1641" s="63"/>
      <c r="F1641" s="63"/>
    </row>
    <row r="1642" spans="1:6" x14ac:dyDescent="0.3">
      <c r="A1642" s="71"/>
      <c r="B1642" s="63"/>
      <c r="C1642" s="63"/>
      <c r="D1642" s="63"/>
      <c r="E1642" s="63"/>
      <c r="F1642" s="63"/>
    </row>
    <row r="1643" spans="1:6" x14ac:dyDescent="0.3">
      <c r="A1643" s="71"/>
      <c r="B1643" s="63"/>
      <c r="C1643" s="63"/>
      <c r="D1643" s="63"/>
      <c r="E1643" s="63"/>
      <c r="F1643" s="63"/>
    </row>
    <row r="1644" spans="1:6" x14ac:dyDescent="0.3">
      <c r="A1644" s="71"/>
      <c r="B1644" s="63"/>
      <c r="C1644" s="63"/>
      <c r="D1644" s="63"/>
      <c r="E1644" s="63"/>
      <c r="F1644" s="63"/>
    </row>
    <row r="1645" spans="1:6" x14ac:dyDescent="0.3">
      <c r="A1645" s="71"/>
      <c r="B1645" s="63"/>
      <c r="C1645" s="63"/>
      <c r="D1645" s="63"/>
      <c r="E1645" s="63"/>
      <c r="F1645" s="63"/>
    </row>
    <row r="1646" spans="1:6" x14ac:dyDescent="0.3">
      <c r="A1646" s="71"/>
      <c r="B1646" s="63"/>
      <c r="C1646" s="63"/>
      <c r="D1646" s="63"/>
      <c r="E1646" s="63"/>
      <c r="F1646" s="63"/>
    </row>
    <row r="1647" spans="1:6" x14ac:dyDescent="0.3">
      <c r="A1647" s="71"/>
      <c r="B1647" s="63"/>
      <c r="C1647" s="63"/>
      <c r="D1647" s="63"/>
      <c r="E1647" s="63"/>
      <c r="F1647" s="63"/>
    </row>
    <row r="1648" spans="1:6" x14ac:dyDescent="0.3">
      <c r="A1648" s="71"/>
      <c r="B1648" s="63"/>
      <c r="C1648" s="63"/>
      <c r="D1648" s="63"/>
      <c r="E1648" s="63"/>
      <c r="F1648" s="63"/>
    </row>
    <row r="1649" spans="1:6" x14ac:dyDescent="0.3">
      <c r="A1649" s="71"/>
      <c r="B1649" s="63"/>
      <c r="C1649" s="63"/>
      <c r="D1649" s="63"/>
      <c r="E1649" s="63"/>
      <c r="F1649" s="63"/>
    </row>
    <row r="1650" spans="1:6" x14ac:dyDescent="0.3">
      <c r="A1650" s="71"/>
      <c r="B1650" s="63"/>
      <c r="C1650" s="63"/>
      <c r="D1650" s="63"/>
      <c r="E1650" s="63"/>
      <c r="F1650" s="63"/>
    </row>
    <row r="1651" spans="1:6" x14ac:dyDescent="0.3">
      <c r="A1651" s="71"/>
      <c r="B1651" s="63"/>
      <c r="C1651" s="63"/>
      <c r="D1651" s="63"/>
      <c r="E1651" s="63"/>
      <c r="F1651" s="63"/>
    </row>
    <row r="1652" spans="1:6" x14ac:dyDescent="0.3">
      <c r="A1652" s="71"/>
      <c r="B1652" s="63"/>
      <c r="C1652" s="63"/>
      <c r="D1652" s="63"/>
      <c r="E1652" s="63"/>
      <c r="F1652" s="63"/>
    </row>
    <row r="1653" spans="1:6" x14ac:dyDescent="0.3">
      <c r="A1653" s="71"/>
      <c r="B1653" s="63"/>
      <c r="C1653" s="63"/>
      <c r="D1653" s="63"/>
      <c r="E1653" s="63"/>
      <c r="F1653" s="63"/>
    </row>
    <row r="1654" spans="1:6" x14ac:dyDescent="0.3">
      <c r="A1654" s="71"/>
      <c r="B1654" s="63"/>
      <c r="C1654" s="63"/>
      <c r="D1654" s="63"/>
      <c r="E1654" s="63"/>
      <c r="F1654" s="63"/>
    </row>
    <row r="1655" spans="1:6" x14ac:dyDescent="0.3">
      <c r="A1655" s="71"/>
      <c r="B1655" s="63"/>
      <c r="C1655" s="63"/>
      <c r="D1655" s="63"/>
      <c r="E1655" s="63"/>
      <c r="F1655" s="63"/>
    </row>
    <row r="1656" spans="1:6" x14ac:dyDescent="0.3">
      <c r="A1656" s="71"/>
      <c r="B1656" s="63"/>
      <c r="C1656" s="63"/>
      <c r="D1656" s="63"/>
      <c r="E1656" s="63"/>
      <c r="F1656" s="63"/>
    </row>
    <row r="1657" spans="1:6" x14ac:dyDescent="0.3">
      <c r="A1657" s="71"/>
      <c r="B1657" s="63"/>
      <c r="C1657" s="63"/>
      <c r="D1657" s="63"/>
      <c r="E1657" s="63"/>
      <c r="F1657" s="63"/>
    </row>
    <row r="1658" spans="1:6" x14ac:dyDescent="0.3">
      <c r="A1658" s="71"/>
      <c r="B1658" s="63"/>
      <c r="C1658" s="63"/>
      <c r="D1658" s="63"/>
      <c r="E1658" s="63"/>
      <c r="F1658" s="63"/>
    </row>
    <row r="1659" spans="1:6" x14ac:dyDescent="0.3">
      <c r="A1659" s="71"/>
      <c r="B1659" s="63"/>
      <c r="C1659" s="63"/>
      <c r="D1659" s="63"/>
      <c r="E1659" s="63"/>
      <c r="F1659" s="63"/>
    </row>
    <row r="1660" spans="1:6" x14ac:dyDescent="0.3">
      <c r="A1660" s="71"/>
      <c r="B1660" s="63"/>
      <c r="C1660" s="63"/>
      <c r="D1660" s="63"/>
      <c r="E1660" s="63"/>
      <c r="F1660" s="63"/>
    </row>
    <row r="1661" spans="1:6" x14ac:dyDescent="0.3">
      <c r="A1661" s="71"/>
      <c r="B1661" s="63"/>
      <c r="C1661" s="63"/>
      <c r="D1661" s="63"/>
      <c r="E1661" s="63"/>
      <c r="F1661" s="63"/>
    </row>
    <row r="1662" spans="1:6" x14ac:dyDescent="0.3">
      <c r="A1662" s="71"/>
      <c r="B1662" s="63"/>
      <c r="C1662" s="63"/>
      <c r="D1662" s="63"/>
      <c r="E1662" s="63"/>
      <c r="F1662" s="63"/>
    </row>
    <row r="1663" spans="1:6" x14ac:dyDescent="0.3">
      <c r="A1663" s="71"/>
      <c r="B1663" s="63"/>
      <c r="C1663" s="63"/>
      <c r="D1663" s="63"/>
      <c r="E1663" s="63"/>
      <c r="F1663" s="63"/>
    </row>
    <row r="1664" spans="1:6" x14ac:dyDescent="0.3">
      <c r="A1664" s="71"/>
      <c r="B1664" s="63"/>
      <c r="C1664" s="63"/>
      <c r="D1664" s="63"/>
      <c r="E1664" s="63"/>
      <c r="F1664" s="63"/>
    </row>
    <row r="1665" spans="1:6" x14ac:dyDescent="0.3">
      <c r="A1665" s="71"/>
      <c r="B1665" s="63"/>
      <c r="C1665" s="63"/>
      <c r="D1665" s="63"/>
      <c r="E1665" s="63"/>
      <c r="F1665" s="63"/>
    </row>
    <row r="1666" spans="1:6" x14ac:dyDescent="0.3">
      <c r="A1666" s="71"/>
      <c r="B1666" s="63"/>
      <c r="C1666" s="63"/>
      <c r="D1666" s="63"/>
      <c r="E1666" s="63"/>
      <c r="F1666" s="63"/>
    </row>
    <row r="1667" spans="1:6" x14ac:dyDescent="0.3">
      <c r="A1667" s="71"/>
      <c r="B1667" s="63"/>
      <c r="C1667" s="63"/>
      <c r="D1667" s="63"/>
      <c r="E1667" s="63"/>
      <c r="F1667" s="63"/>
    </row>
    <row r="1668" spans="1:6" x14ac:dyDescent="0.3">
      <c r="A1668" s="71"/>
      <c r="B1668" s="63"/>
      <c r="C1668" s="63"/>
      <c r="D1668" s="63"/>
      <c r="E1668" s="63"/>
      <c r="F1668" s="63"/>
    </row>
    <row r="1669" spans="1:6" x14ac:dyDescent="0.3">
      <c r="A1669" s="71"/>
      <c r="B1669" s="63"/>
      <c r="C1669" s="63"/>
      <c r="D1669" s="63"/>
      <c r="E1669" s="63"/>
      <c r="F1669" s="63"/>
    </row>
    <row r="1670" spans="1:6" x14ac:dyDescent="0.3">
      <c r="A1670" s="71"/>
      <c r="B1670" s="63"/>
      <c r="C1670" s="63"/>
      <c r="D1670" s="63"/>
      <c r="E1670" s="63"/>
      <c r="F1670" s="63"/>
    </row>
    <row r="1671" spans="1:6" x14ac:dyDescent="0.3">
      <c r="A1671" s="71"/>
      <c r="B1671" s="63"/>
      <c r="C1671" s="63"/>
      <c r="D1671" s="63"/>
      <c r="E1671" s="63"/>
      <c r="F1671" s="63"/>
    </row>
    <row r="1672" spans="1:6" x14ac:dyDescent="0.3">
      <c r="A1672" s="71"/>
      <c r="B1672" s="63"/>
      <c r="C1672" s="63"/>
      <c r="D1672" s="63"/>
      <c r="E1672" s="63"/>
      <c r="F1672" s="63"/>
    </row>
    <row r="1673" spans="1:6" x14ac:dyDescent="0.3">
      <c r="A1673" s="71"/>
      <c r="B1673" s="63"/>
      <c r="C1673" s="63"/>
      <c r="D1673" s="63"/>
      <c r="E1673" s="63"/>
      <c r="F1673" s="63"/>
    </row>
    <row r="1674" spans="1:6" x14ac:dyDescent="0.3">
      <c r="A1674" s="71"/>
      <c r="B1674" s="63"/>
      <c r="C1674" s="63"/>
      <c r="D1674" s="63"/>
      <c r="E1674" s="63"/>
      <c r="F1674" s="63"/>
    </row>
    <row r="1675" spans="1:6" x14ac:dyDescent="0.3">
      <c r="A1675" s="71"/>
      <c r="B1675" s="63"/>
      <c r="C1675" s="63"/>
      <c r="D1675" s="63"/>
      <c r="E1675" s="63"/>
      <c r="F1675" s="63"/>
    </row>
    <row r="1676" spans="1:6" x14ac:dyDescent="0.3">
      <c r="A1676" s="71"/>
      <c r="B1676" s="63"/>
      <c r="C1676" s="63"/>
      <c r="D1676" s="63"/>
      <c r="E1676" s="63"/>
      <c r="F1676" s="63"/>
    </row>
    <row r="1677" spans="1:6" x14ac:dyDescent="0.3">
      <c r="A1677" s="71"/>
      <c r="B1677" s="63"/>
      <c r="C1677" s="63"/>
      <c r="D1677" s="63"/>
      <c r="E1677" s="63"/>
      <c r="F1677" s="63"/>
    </row>
    <row r="1678" spans="1:6" x14ac:dyDescent="0.3">
      <c r="A1678" s="71"/>
      <c r="B1678" s="63"/>
      <c r="C1678" s="63"/>
      <c r="D1678" s="63"/>
      <c r="E1678" s="63"/>
      <c r="F1678" s="63"/>
    </row>
    <row r="1679" spans="1:6" x14ac:dyDescent="0.3">
      <c r="A1679" s="71"/>
      <c r="B1679" s="63"/>
      <c r="C1679" s="63"/>
      <c r="D1679" s="63"/>
      <c r="E1679" s="63"/>
      <c r="F1679" s="63"/>
    </row>
    <row r="1680" spans="1:6" x14ac:dyDescent="0.3">
      <c r="A1680" s="71"/>
      <c r="B1680" s="63"/>
      <c r="C1680" s="63"/>
      <c r="D1680" s="63"/>
      <c r="E1680" s="63"/>
      <c r="F1680" s="63"/>
    </row>
    <row r="1681" spans="1:6" x14ac:dyDescent="0.3">
      <c r="A1681" s="71"/>
      <c r="B1681" s="63"/>
      <c r="C1681" s="63"/>
      <c r="D1681" s="63"/>
      <c r="E1681" s="63"/>
      <c r="F1681" s="63"/>
    </row>
    <row r="1682" spans="1:6" x14ac:dyDescent="0.3">
      <c r="A1682" s="71"/>
      <c r="B1682" s="63"/>
      <c r="C1682" s="63"/>
      <c r="D1682" s="63"/>
      <c r="E1682" s="63"/>
      <c r="F1682" s="63"/>
    </row>
    <row r="1683" spans="1:6" x14ac:dyDescent="0.3">
      <c r="A1683" s="71"/>
      <c r="B1683" s="63"/>
      <c r="C1683" s="63"/>
      <c r="D1683" s="63"/>
      <c r="E1683" s="63"/>
      <c r="F1683" s="63"/>
    </row>
    <row r="1684" spans="1:6" x14ac:dyDescent="0.3">
      <c r="A1684" s="71"/>
      <c r="B1684" s="63"/>
      <c r="C1684" s="63"/>
      <c r="D1684" s="63"/>
      <c r="E1684" s="63"/>
      <c r="F1684" s="63"/>
    </row>
    <row r="1685" spans="1:6" x14ac:dyDescent="0.3">
      <c r="A1685" s="71"/>
      <c r="B1685" s="63"/>
      <c r="C1685" s="63"/>
      <c r="D1685" s="63"/>
      <c r="E1685" s="63"/>
      <c r="F1685" s="63"/>
    </row>
    <row r="1686" spans="1:6" x14ac:dyDescent="0.3">
      <c r="A1686" s="71"/>
      <c r="B1686" s="63"/>
      <c r="C1686" s="63"/>
      <c r="D1686" s="63"/>
      <c r="E1686" s="63"/>
      <c r="F1686" s="63"/>
    </row>
    <row r="1687" spans="1:6" x14ac:dyDescent="0.3">
      <c r="A1687" s="71"/>
      <c r="B1687" s="63"/>
      <c r="C1687" s="63"/>
      <c r="D1687" s="63"/>
      <c r="E1687" s="63"/>
      <c r="F1687" s="63"/>
    </row>
    <row r="1688" spans="1:6" x14ac:dyDescent="0.3">
      <c r="A1688" s="71"/>
      <c r="B1688" s="63"/>
      <c r="C1688" s="63"/>
      <c r="D1688" s="63"/>
      <c r="E1688" s="63"/>
      <c r="F1688" s="63"/>
    </row>
    <row r="1689" spans="1:6" x14ac:dyDescent="0.3">
      <c r="A1689" s="71"/>
      <c r="B1689" s="63"/>
      <c r="C1689" s="63"/>
      <c r="D1689" s="63"/>
      <c r="E1689" s="63"/>
      <c r="F1689" s="63"/>
    </row>
    <row r="1690" spans="1:6" x14ac:dyDescent="0.3">
      <c r="A1690" s="71"/>
      <c r="B1690" s="63"/>
      <c r="C1690" s="63"/>
      <c r="D1690" s="63"/>
      <c r="E1690" s="63"/>
      <c r="F1690" s="63"/>
    </row>
    <row r="1691" spans="1:6" x14ac:dyDescent="0.3">
      <c r="A1691" s="71"/>
      <c r="B1691" s="63"/>
      <c r="C1691" s="63"/>
      <c r="D1691" s="63"/>
      <c r="E1691" s="63"/>
      <c r="F1691" s="63"/>
    </row>
    <row r="1692" spans="1:6" x14ac:dyDescent="0.3">
      <c r="A1692" s="71"/>
      <c r="B1692" s="63"/>
      <c r="C1692" s="63"/>
      <c r="D1692" s="63"/>
      <c r="E1692" s="63"/>
      <c r="F1692" s="63"/>
    </row>
    <row r="1693" spans="1:6" x14ac:dyDescent="0.3">
      <c r="A1693" s="71"/>
      <c r="B1693" s="63"/>
      <c r="C1693" s="63"/>
      <c r="D1693" s="63"/>
      <c r="E1693" s="63"/>
      <c r="F1693" s="63"/>
    </row>
    <row r="1694" spans="1:6" x14ac:dyDescent="0.3">
      <c r="A1694" s="71"/>
      <c r="B1694" s="63"/>
      <c r="C1694" s="63"/>
      <c r="D1694" s="63"/>
      <c r="E1694" s="63"/>
      <c r="F1694" s="63"/>
    </row>
    <row r="1695" spans="1:6" x14ac:dyDescent="0.3">
      <c r="A1695" s="71"/>
      <c r="B1695" s="63"/>
      <c r="C1695" s="63"/>
      <c r="D1695" s="63"/>
      <c r="E1695" s="63"/>
      <c r="F1695" s="63"/>
    </row>
    <row r="1696" spans="1:6" x14ac:dyDescent="0.3">
      <c r="A1696" s="71"/>
      <c r="B1696" s="63"/>
      <c r="C1696" s="63"/>
      <c r="D1696" s="63"/>
      <c r="E1696" s="63"/>
      <c r="F1696" s="63"/>
    </row>
    <row r="1697" spans="1:6" x14ac:dyDescent="0.3">
      <c r="A1697" s="71"/>
      <c r="B1697" s="63"/>
      <c r="C1697" s="63"/>
      <c r="D1697" s="63"/>
      <c r="E1697" s="63"/>
      <c r="F1697" s="63"/>
    </row>
    <row r="1698" spans="1:6" x14ac:dyDescent="0.3">
      <c r="A1698" s="71"/>
      <c r="B1698" s="63"/>
      <c r="C1698" s="63"/>
      <c r="D1698" s="63"/>
      <c r="E1698" s="63"/>
      <c r="F1698" s="63"/>
    </row>
    <row r="1699" spans="1:6" x14ac:dyDescent="0.3">
      <c r="A1699" s="71"/>
      <c r="B1699" s="63"/>
      <c r="C1699" s="63"/>
      <c r="D1699" s="63"/>
      <c r="E1699" s="63"/>
      <c r="F1699" s="63"/>
    </row>
    <row r="1700" spans="1:6" x14ac:dyDescent="0.3">
      <c r="A1700" s="71"/>
      <c r="B1700" s="63"/>
      <c r="C1700" s="63"/>
      <c r="D1700" s="63"/>
      <c r="E1700" s="63"/>
      <c r="F1700" s="63"/>
    </row>
    <row r="1701" spans="1:6" x14ac:dyDescent="0.3">
      <c r="A1701" s="71"/>
      <c r="B1701" s="63"/>
      <c r="C1701" s="63"/>
      <c r="D1701" s="63"/>
      <c r="E1701" s="63"/>
      <c r="F1701" s="63"/>
    </row>
    <row r="1702" spans="1:6" x14ac:dyDescent="0.3">
      <c r="A1702" s="71"/>
      <c r="B1702" s="63"/>
      <c r="C1702" s="63"/>
      <c r="D1702" s="63"/>
      <c r="E1702" s="63"/>
      <c r="F1702" s="63"/>
    </row>
    <row r="1703" spans="1:6" x14ac:dyDescent="0.3">
      <c r="A1703" s="71"/>
      <c r="B1703" s="63"/>
      <c r="C1703" s="63"/>
      <c r="D1703" s="63"/>
      <c r="E1703" s="63"/>
      <c r="F1703" s="63"/>
    </row>
    <row r="1704" spans="1:6" x14ac:dyDescent="0.3">
      <c r="A1704" s="71"/>
      <c r="B1704" s="63"/>
      <c r="C1704" s="63"/>
      <c r="D1704" s="63"/>
      <c r="E1704" s="63"/>
      <c r="F1704" s="63"/>
    </row>
    <row r="1705" spans="1:6" x14ac:dyDescent="0.3">
      <c r="A1705" s="71"/>
      <c r="B1705" s="63"/>
      <c r="C1705" s="63"/>
      <c r="D1705" s="63"/>
      <c r="E1705" s="63"/>
      <c r="F1705" s="63"/>
    </row>
    <row r="1706" spans="1:6" x14ac:dyDescent="0.3">
      <c r="A1706" s="71"/>
      <c r="B1706" s="63"/>
      <c r="C1706" s="63"/>
      <c r="D1706" s="63"/>
      <c r="E1706" s="63"/>
      <c r="F1706" s="63"/>
    </row>
    <row r="1707" spans="1:6" x14ac:dyDescent="0.3">
      <c r="A1707" s="71"/>
      <c r="B1707" s="63"/>
      <c r="C1707" s="63"/>
      <c r="D1707" s="63"/>
      <c r="E1707" s="63"/>
      <c r="F1707" s="63"/>
    </row>
    <row r="1708" spans="1:6" x14ac:dyDescent="0.3">
      <c r="A1708" s="71"/>
      <c r="B1708" s="63"/>
      <c r="C1708" s="63"/>
      <c r="D1708" s="63"/>
      <c r="E1708" s="63"/>
      <c r="F1708" s="63"/>
    </row>
    <row r="1709" spans="1:6" x14ac:dyDescent="0.3">
      <c r="A1709" s="71"/>
      <c r="B1709" s="63"/>
      <c r="C1709" s="63"/>
      <c r="D1709" s="63"/>
      <c r="E1709" s="63"/>
      <c r="F1709" s="63"/>
    </row>
    <row r="1710" spans="1:6" x14ac:dyDescent="0.3">
      <c r="A1710" s="71"/>
      <c r="B1710" s="63"/>
      <c r="C1710" s="63"/>
      <c r="D1710" s="63"/>
      <c r="E1710" s="63"/>
      <c r="F1710" s="63"/>
    </row>
    <row r="1711" spans="1:6" x14ac:dyDescent="0.3">
      <c r="A1711" s="71"/>
      <c r="B1711" s="63"/>
      <c r="C1711" s="63"/>
      <c r="D1711" s="63"/>
      <c r="E1711" s="63"/>
      <c r="F1711" s="63"/>
    </row>
    <row r="1712" spans="1:6" x14ac:dyDescent="0.3">
      <c r="A1712" s="71"/>
      <c r="B1712" s="63"/>
      <c r="C1712" s="63"/>
      <c r="D1712" s="63"/>
      <c r="E1712" s="63"/>
      <c r="F1712" s="63"/>
    </row>
    <row r="1713" spans="1:6" x14ac:dyDescent="0.3">
      <c r="A1713" s="71"/>
      <c r="B1713" s="63"/>
      <c r="C1713" s="63"/>
      <c r="D1713" s="63"/>
      <c r="E1713" s="63"/>
      <c r="F1713" s="63"/>
    </row>
    <row r="1714" spans="1:6" x14ac:dyDescent="0.3">
      <c r="A1714" s="71"/>
      <c r="B1714" s="63"/>
      <c r="C1714" s="63"/>
      <c r="D1714" s="63"/>
      <c r="E1714" s="63"/>
      <c r="F1714" s="63"/>
    </row>
    <row r="1715" spans="1:6" x14ac:dyDescent="0.3">
      <c r="A1715" s="71"/>
      <c r="B1715" s="63"/>
      <c r="C1715" s="63"/>
      <c r="D1715" s="63"/>
      <c r="E1715" s="63"/>
      <c r="F1715" s="63"/>
    </row>
    <row r="1716" spans="1:6" x14ac:dyDescent="0.3">
      <c r="A1716" s="71"/>
      <c r="B1716" s="63"/>
      <c r="C1716" s="63"/>
      <c r="D1716" s="63"/>
      <c r="E1716" s="63"/>
      <c r="F1716" s="63"/>
    </row>
    <row r="1717" spans="1:6" x14ac:dyDescent="0.3">
      <c r="A1717" s="71"/>
      <c r="B1717" s="63"/>
      <c r="C1717" s="63"/>
      <c r="D1717" s="63"/>
      <c r="E1717" s="63"/>
      <c r="F1717" s="63"/>
    </row>
    <row r="1718" spans="1:6" x14ac:dyDescent="0.3">
      <c r="A1718" s="71"/>
      <c r="B1718" s="63"/>
      <c r="C1718" s="63"/>
      <c r="D1718" s="63"/>
      <c r="E1718" s="63"/>
      <c r="F1718" s="63"/>
    </row>
  </sheetData>
  <conditionalFormatting sqref="C16">
    <cfRule type="cellIs" dxfId="12" priority="14" operator="equal">
      <formula>"nee"</formula>
    </cfRule>
    <cfRule type="cellIs" dxfId="11" priority="15" operator="equal">
      <formula>"ja"</formula>
    </cfRule>
  </conditionalFormatting>
  <conditionalFormatting sqref="D16">
    <cfRule type="cellIs" dxfId="10" priority="12" operator="equal">
      <formula>"nee"</formula>
    </cfRule>
    <cfRule type="cellIs" dxfId="9" priority="13" operator="equal">
      <formula>"ja"</formula>
    </cfRule>
  </conditionalFormatting>
  <conditionalFormatting sqref="A116:A132">
    <cfRule type="expression" dxfId="8" priority="10">
      <formula>IF($C$112="nee",TRUE,FALSE)</formula>
    </cfRule>
  </conditionalFormatting>
  <conditionalFormatting sqref="A135:A153">
    <cfRule type="expression" dxfId="7" priority="9">
      <formula>IF($C$132="nee",TRUE,FALSE)</formula>
    </cfRule>
  </conditionalFormatting>
  <conditionalFormatting sqref="C16">
    <cfRule type="cellIs" dxfId="6" priority="7" operator="equal">
      <formula>"nee"</formula>
    </cfRule>
    <cfRule type="cellIs" dxfId="5" priority="8" operator="equal">
      <formula>"ja"</formula>
    </cfRule>
  </conditionalFormatting>
  <conditionalFormatting sqref="D16">
    <cfRule type="cellIs" dxfId="4" priority="5" operator="equal">
      <formula>"nee"</formula>
    </cfRule>
    <cfRule type="cellIs" dxfId="3" priority="6" operator="equal">
      <formula>"ja"</formula>
    </cfRule>
  </conditionalFormatting>
  <conditionalFormatting sqref="A116:A132">
    <cfRule type="expression" dxfId="2" priority="3">
      <formula>IF($C$112="nee",TRUE,FALSE)</formula>
    </cfRule>
  </conditionalFormatting>
  <conditionalFormatting sqref="A135:A153">
    <cfRule type="expression" dxfId="1" priority="2">
      <formula>IF($C$132="nee",TRUE,FALSE)</formula>
    </cfRule>
  </conditionalFormatting>
  <conditionalFormatting sqref="B6">
    <cfRule type="cellIs" dxfId="0" priority="1" operator="equal">
      <formula>"geef een PV-systeem op"</formula>
    </cfRule>
  </conditionalFormatting>
  <pageMargins left="0.7" right="0.7" top="0.75" bottom="0.75" header="0.3" footer="0.3"/>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7567-FE94-4C0B-80E1-F8A0DAD60D40}">
  <sheetPr>
    <tabColor theme="0" tint="-0.249977111117893"/>
  </sheetPr>
  <dimension ref="B1:BJ48"/>
  <sheetViews>
    <sheetView zoomScale="70" zoomScaleNormal="70" workbookViewId="0">
      <pane xSplit="2" ySplit="1" topLeftCell="I2" activePane="bottomRight" state="frozen"/>
      <selection activeCell="I32" sqref="I32"/>
      <selection pane="topRight" activeCell="I32" sqref="I32"/>
      <selection pane="bottomLeft" activeCell="I32" sqref="I32"/>
      <selection pane="bottomRight" activeCell="I32" sqref="I32"/>
    </sheetView>
  </sheetViews>
  <sheetFormatPr defaultRowHeight="14.4" x14ac:dyDescent="0.3"/>
  <cols>
    <col min="2" max="2" width="10" bestFit="1" customWidth="1"/>
    <col min="3" max="3" width="20" bestFit="1" customWidth="1"/>
    <col min="4" max="5" width="7.6640625" bestFit="1" customWidth="1"/>
    <col min="8" max="9" width="15.6640625" customWidth="1"/>
    <col min="10" max="10" width="17.6640625" bestFit="1" customWidth="1"/>
    <col min="13" max="14" width="19.33203125" customWidth="1"/>
    <col min="16" max="16" width="42.6640625" bestFit="1" customWidth="1"/>
    <col min="17" max="17" width="19.6640625" customWidth="1"/>
    <col min="19" max="19" width="19.6640625" customWidth="1"/>
    <col min="22" max="22" width="19.6640625" customWidth="1"/>
    <col min="24" max="24" width="8.88671875" customWidth="1"/>
    <col min="25" max="25" width="10.6640625" bestFit="1" customWidth="1"/>
    <col min="26" max="33" width="11.33203125" customWidth="1"/>
    <col min="34" max="34" width="65.33203125" bestFit="1" customWidth="1"/>
    <col min="35" max="37" width="11.33203125" customWidth="1"/>
    <col min="38" max="38" width="54.44140625" bestFit="1" customWidth="1"/>
    <col min="39" max="46" width="11.33203125" customWidth="1"/>
    <col min="47" max="47" width="39.44140625" customWidth="1"/>
    <col min="49" max="49" width="13.44140625" customWidth="1"/>
    <col min="52" max="52" width="11.6640625" bestFit="1" customWidth="1"/>
    <col min="55" max="55" width="59.44140625" bestFit="1" customWidth="1"/>
    <col min="58" max="58" width="59.44140625" bestFit="1" customWidth="1"/>
    <col min="61" max="61" width="42.5546875" customWidth="1"/>
    <col min="64" max="64" width="38.109375" customWidth="1"/>
  </cols>
  <sheetData>
    <row r="1" spans="2:62" ht="15" thickBot="1" x14ac:dyDescent="0.35">
      <c r="C1" s="1" t="s">
        <v>418</v>
      </c>
      <c r="D1" s="1">
        <f>57-20</f>
        <v>37</v>
      </c>
      <c r="I1" s="1" t="s">
        <v>418</v>
      </c>
      <c r="J1" s="1">
        <f>ROW(PV_Rekentool!C35)</f>
        <v>35</v>
      </c>
      <c r="M1" s="1" t="s">
        <v>418</v>
      </c>
      <c r="N1" s="1">
        <f>ROW(PV_Rekentool!C36)</f>
        <v>36</v>
      </c>
      <c r="P1" s="1" t="s">
        <v>418</v>
      </c>
      <c r="Q1" s="1">
        <f>ROW(PV_Rekentool!C39)</f>
        <v>39</v>
      </c>
      <c r="S1" s="1" t="s">
        <v>418</v>
      </c>
      <c r="T1" s="1">
        <f>ROW(PV_Rekentool!C40)</f>
        <v>40</v>
      </c>
      <c r="V1" s="1" t="s">
        <v>418</v>
      </c>
      <c r="W1" s="1">
        <f>ROW(PV_Rekentool!C40)</f>
        <v>40</v>
      </c>
      <c r="Y1" s="1" t="s">
        <v>418</v>
      </c>
      <c r="Z1" s="1">
        <f>ROW(PV_Rekentool!C41)</f>
        <v>41</v>
      </c>
      <c r="AA1" s="1"/>
      <c r="AB1" s="1" t="s">
        <v>418</v>
      </c>
      <c r="AC1" s="1">
        <f>ROW(PV_Rekentool!C41)</f>
        <v>41</v>
      </c>
      <c r="AD1" s="1"/>
      <c r="AE1" s="1" t="s">
        <v>418</v>
      </c>
      <c r="AF1" s="1">
        <f>ROW(PV_Rekentool!C40)</f>
        <v>40</v>
      </c>
      <c r="AG1" s="1"/>
      <c r="AH1" s="1" t="s">
        <v>358</v>
      </c>
      <c r="AI1" s="1" t="s">
        <v>418</v>
      </c>
      <c r="AJ1" s="1">
        <f>ROW(PV_Rekentool!C42)</f>
        <v>42</v>
      </c>
      <c r="AK1" s="1"/>
      <c r="AL1" s="1" t="s">
        <v>359</v>
      </c>
      <c r="AM1" s="1"/>
      <c r="AN1" s="1"/>
      <c r="AO1" s="1"/>
      <c r="AP1" s="1">
        <v>2</v>
      </c>
      <c r="AQ1" s="1">
        <v>3</v>
      </c>
      <c r="AR1" s="1">
        <v>4</v>
      </c>
      <c r="AS1" s="1">
        <v>5</v>
      </c>
      <c r="AT1" s="1">
        <v>6</v>
      </c>
      <c r="AU1" t="s">
        <v>364</v>
      </c>
      <c r="AW1" s="1" t="s">
        <v>418</v>
      </c>
      <c r="AX1">
        <f>ROW(PV_Rekentool!C46)</f>
        <v>46</v>
      </c>
      <c r="AZ1" s="1" t="s">
        <v>418</v>
      </c>
      <c r="BA1">
        <f>ROW(PV_Rekentool!C47)</f>
        <v>47</v>
      </c>
      <c r="BC1" s="1" t="s">
        <v>418</v>
      </c>
      <c r="BD1">
        <f>ROW(PV_Rekentool!C48)</f>
        <v>48</v>
      </c>
      <c r="BF1" s="1" t="s">
        <v>418</v>
      </c>
      <c r="BG1">
        <f>ROW(PV_Rekentool!C49)</f>
        <v>49</v>
      </c>
      <c r="BI1" s="1" t="s">
        <v>418</v>
      </c>
      <c r="BJ1">
        <f>ROW(PV_Rekentool!C50)</f>
        <v>50</v>
      </c>
    </row>
    <row r="2" spans="2:62" x14ac:dyDescent="0.3">
      <c r="B2" s="20" t="s">
        <v>99</v>
      </c>
      <c r="C2" s="30">
        <v>1</v>
      </c>
      <c r="D2" s="33" t="s">
        <v>335</v>
      </c>
      <c r="E2" s="54">
        <v>1</v>
      </c>
      <c r="G2">
        <v>0</v>
      </c>
      <c r="H2" s="20" t="s">
        <v>99</v>
      </c>
      <c r="I2" s="30">
        <v>1</v>
      </c>
      <c r="J2" s="33" t="str" cm="1">
        <f t="array" aca="1" ref="J2" ca="1">INDIRECT($I$1&amp;($J$1+$G2))</f>
        <v>bestaand systeem</v>
      </c>
      <c r="K2" s="54">
        <f ca="1">VLOOKUP(J2,nieuwbestaand,2,FALSE)</f>
        <v>2</v>
      </c>
      <c r="M2" s="36" cm="1">
        <f t="array" aca="1" ref="M2" ca="1">INDIRECT(M$1&amp;(N$1+$G2))</f>
        <v>0</v>
      </c>
      <c r="N2" s="54">
        <f ca="1">IF(K2=1,$N$16,VLOOKUP(M2,Jaartalklassen,2,TRUE))</f>
        <v>1</v>
      </c>
      <c r="P2" s="36" t="str" cm="1">
        <f t="array" aca="1" ref="P2" ca="1">INDIRECT(P$1&amp;(Q$1+$G2))</f>
        <v>Maak een keuze</v>
      </c>
      <c r="Q2" s="54">
        <f ca="1">VLOOKUP(P2,'Drop-down'!P12:Q17,2,FALSE)</f>
        <v>1</v>
      </c>
      <c r="S2" s="54" t="str" cm="1">
        <f t="array" aca="1" ref="S2" ca="1">IF(OR(Q2=2,Q2=4),INDIRECT(S$1&amp;(T$1+$G2)),"nvt")</f>
        <v>nvt</v>
      </c>
      <c r="T2" t="s">
        <v>365</v>
      </c>
      <c r="V2" s="54" t="str" cm="1">
        <f t="array" aca="1" ref="V2" ca="1">IF(OR($Q2=3,$Q2=5),INDIRECT(V$1&amp;(W$1+$G2)),"nvt")</f>
        <v>nvt</v>
      </c>
      <c r="W2" t="s">
        <v>361</v>
      </c>
      <c r="Y2" s="54" t="str" cm="1">
        <f t="array" aca="1" ref="Y2" ca="1">IF($Q2=4,(INDIRECT(Y$1&amp;(Z$1+$G2))),"nvt")</f>
        <v>nvt</v>
      </c>
      <c r="Z2" t="s">
        <v>140</v>
      </c>
      <c r="AB2" s="54" t="str" cm="1">
        <f t="array" aca="1" ref="AB2" ca="1">IF(OR($Q2=5),INDIRECT(AB$1&amp;(AC$1+$G2)),"nvt")</f>
        <v>nvt</v>
      </c>
      <c r="AC2" t="s">
        <v>141</v>
      </c>
      <c r="AE2" s="54" t="str" cm="1">
        <f t="array" aca="1" ref="AE2" ca="1">IF(($Q2=6),INDIRECT(AE$1&amp;(AF$1+$G2)),"nvt")</f>
        <v>nvt</v>
      </c>
      <c r="AF2" t="s">
        <v>362</v>
      </c>
      <c r="AH2" s="36" t="str" cm="1">
        <f t="array" aca="1" ref="AH2" ca="1">IF(OR($Q2=2,$Q2=3),INDIRECT(AI$1&amp;(AJ$1+$G2)),"nvt")</f>
        <v>nvt</v>
      </c>
      <c r="AI2" s="54" t="str">
        <f ca="1">IF(AH2="nvt","nvt",VLOOKUP(AH2,$AH$12:$AI$19,2,FALSE))</f>
        <v>nvt</v>
      </c>
      <c r="AL2" s="36" t="str" cm="1">
        <f t="array" aca="1" ref="AL2" ca="1">IF(AH2="nvt","nvt",(INDEX(Forfaitair,$N2,$AI2)))</f>
        <v>nvt</v>
      </c>
      <c r="AM2" s="54" t="str">
        <f ca="1">IF(AI2="nvt","nvt",VLOOKUP(AL2,$AH$35:$AJ$48,2,FALSE))</f>
        <v>nvt</v>
      </c>
      <c r="AN2" s="54" t="str">
        <f ca="1">IF(AH2="nvt","nvt",VLOOKUP(AL2,$AH$35:$AJ$48,3,FALSE))</f>
        <v>nvt</v>
      </c>
      <c r="AP2" s="36" t="str">
        <f ca="1">IF(AN2="nvt","nvt",S2*AN2)</f>
        <v>nvt</v>
      </c>
      <c r="AQ2" s="36" t="str">
        <f ca="1">IF(V2="nvt","nvt",V2*AN2*1.6)</f>
        <v>nvt</v>
      </c>
      <c r="AR2" s="36" t="str">
        <f ca="1">IF(Y2="nvt","nvt",S2*Y2)</f>
        <v>nvt</v>
      </c>
      <c r="AS2" s="36" t="str">
        <f ca="1">IF(AB2="nvt","nvt",V2*AB2)</f>
        <v>nvt</v>
      </c>
      <c r="AT2" s="36" t="str">
        <f ca="1">AE2</f>
        <v>nvt</v>
      </c>
      <c r="AU2" s="54" t="str">
        <f ca="1">IF($Q2="nvt","nvt",IF($Q2=1,"nog te berekenen",(HLOOKUP($Q2,$AP$1:$AT$8,$C2+1,FALSE))))</f>
        <v>nog te berekenen</v>
      </c>
      <c r="AW2" s="36" t="str" cm="1">
        <f t="array" aca="1" ref="AW2" ca="1">INDIRECT(AW$1&amp;(AX$1+$G2))</f>
        <v>zuid</v>
      </c>
      <c r="AX2" s="21">
        <f ca="1">VLOOKUP(AW2,'Drop-down'!$AW$12:$AX$20,2,FALSE)</f>
        <v>2</v>
      </c>
      <c r="AZ2" s="36" cm="1">
        <f t="array" aca="1" ref="AZ2" ca="1">INDIRECT(AZ$1&amp;(BA$1+$G2))</f>
        <v>0</v>
      </c>
      <c r="BA2" s="21">
        <f ca="1">AZ2</f>
        <v>0</v>
      </c>
      <c r="BC2" s="36" t="str" cm="1">
        <f t="array" aca="1" ref="BC2" ca="1">INDIRECT(BC$1&amp;(BD$1+$G2))</f>
        <v>onbekend</v>
      </c>
      <c r="BD2" s="21">
        <f ca="1">VLOOKUP(BC2,'Drop-down'!$BC$12:$BD$15,2,FALSE)</f>
        <v>1</v>
      </c>
      <c r="BF2" s="36" t="str" cm="1">
        <f t="array" aca="1" ref="BF2" ca="1">INDIRECT(BF$1&amp;(BG$1+$G2))</f>
        <v>geen of minimale belemmering</v>
      </c>
      <c r="BG2" s="21">
        <f ca="1">VLOOKUP(BF2,'Drop-down'!$BF$12:$BG$16,2,FALSE)</f>
        <v>1</v>
      </c>
      <c r="BI2" s="36" cm="1">
        <f t="array" aca="1" ref="BI2" ca="1">INDIRECT(BI$1&amp;(BJ$1+$G2))</f>
        <v>0</v>
      </c>
      <c r="BJ2" s="21">
        <f ca="1">IF(BI2=0,0,(VLOOKUP(BI2,'Drop-down'!$BI$12:$BJ$14,2,FALSE)))</f>
        <v>0</v>
      </c>
    </row>
    <row r="3" spans="2:62" x14ac:dyDescent="0.3">
      <c r="B3" s="22" t="s">
        <v>100</v>
      </c>
      <c r="C3" s="31">
        <v>2</v>
      </c>
      <c r="D3" s="34" t="str">
        <f>aanwezig2</f>
        <v>nee</v>
      </c>
      <c r="E3" s="55">
        <f t="shared" ref="E3:E8" si="0">IF(D3="ja",1,0)</f>
        <v>0</v>
      </c>
      <c r="G3">
        <v>20</v>
      </c>
      <c r="H3" s="22" t="s">
        <v>100</v>
      </c>
      <c r="I3" s="31">
        <f>IF(E3=1,$I2+1,0)</f>
        <v>0</v>
      </c>
      <c r="J3" s="34" t="str" cm="1">
        <f t="array" aca="1" ref="J3" ca="1">INDIRECT($I$1&amp;($J$1+$G3))</f>
        <v>nieuw systeem</v>
      </c>
      <c r="K3" s="55" t="str">
        <f t="shared" ref="K3:K8" si="1">IF($E3=1,VLOOKUP(J3,nieuwbestaand,2,FALSE),"nvt")</f>
        <v>nvt</v>
      </c>
      <c r="M3" s="37" cm="1">
        <f t="array" aca="1" ref="M3" ca="1">INDIRECT(M$1&amp;(N$1+$G3))</f>
        <v>0</v>
      </c>
      <c r="N3" s="55">
        <f t="shared" ref="N3:N8" ca="1" si="2">IF(K3=1,$N$16,VLOOKUP(M3,Jaartalklassen,2,TRUE))</f>
        <v>1</v>
      </c>
      <c r="P3" s="37" t="str" cm="1">
        <f t="array" aca="1" ref="P3" ca="1">INDIRECT(P$1&amp;(Q$1+$G3))</f>
        <v>Maak een keuze</v>
      </c>
      <c r="Q3" s="55" t="str">
        <f>IF($E3=1,VLOOKUP(P3,'Drop-down'!$P$12:$Q$17,2,FALSE),"nvt")</f>
        <v>nvt</v>
      </c>
      <c r="S3" s="55" t="str" cm="1">
        <f t="array" aca="1" ref="S3" ca="1">IF(OR(Q3=2,Q3=4),INDIRECT(S$1&amp;(T$1+$G3)),"nvt")</f>
        <v>nvt</v>
      </c>
      <c r="V3" s="55" t="str" cm="1">
        <f t="array" aca="1" ref="V3" ca="1">IF(OR($Q3=3,$Q3=5),INDIRECT(V$1&amp;(W$1+$G3)),"nvt")</f>
        <v>nvt</v>
      </c>
      <c r="Y3" s="55" t="str" cm="1">
        <f t="array" aca="1" ref="Y3" ca="1">IF($Q3=4,(INDIRECT(Y$1&amp;(Z$1+$G3))),"nvt")</f>
        <v>nvt</v>
      </c>
      <c r="AB3" s="55" t="str" cm="1">
        <f t="array" aca="1" ref="AB3" ca="1">IF(OR($Q3=5),INDIRECT(AB$1&amp;(AC$1+$G3)),"nvt")</f>
        <v>nvt</v>
      </c>
      <c r="AE3" s="55" t="str" cm="1">
        <f t="array" aca="1" ref="AE3" ca="1">IF(($Q3=6),INDIRECT(AE$1&amp;(AF$1+$G3)),"nvt")</f>
        <v>nvt</v>
      </c>
      <c r="AH3" s="37" t="str" cm="1">
        <f t="array" aca="1" ref="AH3" ca="1">IF(OR($Q3=2,$Q3=3),INDIRECT(AI$1&amp;(AJ$1+$G3)),"nvt")</f>
        <v>nvt</v>
      </c>
      <c r="AI3" s="55" t="str">
        <f ca="1">IF(AH3="nvt","nvt",VLOOKUP(AH3,$AH$12:$AI$19,2,FALSE))</f>
        <v>nvt</v>
      </c>
      <c r="AL3" s="37" t="str" cm="1">
        <f t="array" aca="1" ref="AL3" ca="1">IF(AH3="nvt","nvt",(INDEX(Forfaitair,$N3,$AI3)))</f>
        <v>nvt</v>
      </c>
      <c r="AM3" s="55" t="str">
        <f ca="1">IF(AI3="nvt","nvt",VLOOKUP(AL3,$AH$35:$AJ$48,2,FALSE))</f>
        <v>nvt</v>
      </c>
      <c r="AN3" s="55" t="str">
        <f t="shared" ref="AN3:AN8" ca="1" si="3">IF(AH3="nvt","nvt",VLOOKUP(AL3,$AH$35:$AJ$48,3,FALSE))</f>
        <v>nvt</v>
      </c>
      <c r="AP3" s="37" t="str">
        <f t="shared" ref="AP3:AP8" ca="1" si="4">IF(AN3="nvt","nvt",S3*AN3)</f>
        <v>nvt</v>
      </c>
      <c r="AQ3" s="37" t="str">
        <f t="shared" ref="AQ3:AQ8" ca="1" si="5">IF(V3="nvt","nvt",V3*AN3*1.6)</f>
        <v>nvt</v>
      </c>
      <c r="AR3" s="37" t="str">
        <f t="shared" ref="AR3:AR8" ca="1" si="6">IF(Y3="nvt","nvt",S3*Y3)</f>
        <v>nvt</v>
      </c>
      <c r="AS3" s="37" t="str">
        <f t="shared" ref="AS3:AS8" ca="1" si="7">IF(AB3="nvt","nvt",V3*AB3)</f>
        <v>nvt</v>
      </c>
      <c r="AT3" s="37" t="str">
        <f t="shared" ref="AT3:AT8" ca="1" si="8">AE3</f>
        <v>nvt</v>
      </c>
      <c r="AU3" s="55" t="str">
        <f t="shared" ref="AU3:AU8" si="9">IF($Q3="nvt","nvt",IF($Q3=1,"nog te berekenen",(HLOOKUP($Q3,$AP$1:$AT$8,$C3+1,FALSE))))</f>
        <v>nvt</v>
      </c>
      <c r="AW3" s="37" t="str" cm="1">
        <f t="array" aca="1" ref="AW3" ca="1">INDIRECT(AW$1&amp;(AX$1+$G3))</f>
        <v>zuid</v>
      </c>
      <c r="AX3" s="23" t="str">
        <f>IF($E3=1,VLOOKUP(AW3,'Drop-down'!$AW$12:$AX$20,2,FALSE),"nvt")</f>
        <v>nvt</v>
      </c>
      <c r="AZ3" s="37" cm="1">
        <f t="array" aca="1" ref="AZ3" ca="1">INDIRECT(AZ$1&amp;(BA$1+$G3))</f>
        <v>0</v>
      </c>
      <c r="BA3" s="23">
        <f t="shared" ref="BA3:BA8" ca="1" si="10">AZ3</f>
        <v>0</v>
      </c>
      <c r="BC3" s="37" t="str" cm="1">
        <f t="array" aca="1" ref="BC3" ca="1">INDIRECT(BC$1&amp;(BD$1+$G3))</f>
        <v>onbekend</v>
      </c>
      <c r="BD3" s="23" t="str">
        <f>IF($E3=1,VLOOKUP(BC3,'Drop-down'!$BC$12:$BD$15,2,FALSE),"nvt")</f>
        <v>nvt</v>
      </c>
      <c r="BF3" s="37" t="str" cm="1">
        <f t="array" aca="1" ref="BF3" ca="1">INDIRECT(BF$1&amp;(BG$1+$G3))</f>
        <v>geen of minimale belemmering</v>
      </c>
      <c r="BG3" s="23" t="str">
        <f>IF($E3=1,VLOOKUP(BF3,'Drop-down'!$BF$12:$BG$16,2,FALSE),"nvt")</f>
        <v>nvt</v>
      </c>
      <c r="BI3" s="37" cm="1">
        <f t="array" aca="1" ref="BI3" ca="1">INDIRECT(BI$1&amp;(BJ$1+$G3))</f>
        <v>0</v>
      </c>
      <c r="BJ3" s="23">
        <f ca="1">IF(BI3=0,0,(VLOOKUP(BI3,'Drop-down'!$BI$12:$BJ$14,2,FALSE)))</f>
        <v>0</v>
      </c>
    </row>
    <row r="4" spans="2:62" x14ac:dyDescent="0.3">
      <c r="B4" s="22" t="s">
        <v>101</v>
      </c>
      <c r="C4" s="31">
        <v>3</v>
      </c>
      <c r="D4" s="34" t="str">
        <f>aanwezig3</f>
        <v>nee</v>
      </c>
      <c r="E4" s="56">
        <f t="shared" si="0"/>
        <v>0</v>
      </c>
      <c r="G4">
        <v>40</v>
      </c>
      <c r="H4" s="22" t="s">
        <v>101</v>
      </c>
      <c r="I4" s="31">
        <f ca="1">IF($V4=1,$E3+1,0)</f>
        <v>0</v>
      </c>
      <c r="J4" s="34" t="str" cm="1">
        <f t="array" aca="1" ref="J4" ca="1">INDIRECT($I$1&amp;($J$1+$G4))</f>
        <v>nieuw systeem</v>
      </c>
      <c r="K4" s="56" t="str">
        <f t="shared" si="1"/>
        <v>nvt</v>
      </c>
      <c r="M4" s="37" cm="1">
        <f t="array" aca="1" ref="M4" ca="1">INDIRECT(M$1&amp;(N$1+$G4))</f>
        <v>0</v>
      </c>
      <c r="N4" s="56">
        <f t="shared" ca="1" si="2"/>
        <v>1</v>
      </c>
      <c r="P4" s="37" t="str" cm="1">
        <f t="array" aca="1" ref="P4" ca="1">INDIRECT(P$1&amp;(Q$1+$G4))</f>
        <v>Maak een keuze</v>
      </c>
      <c r="Q4" s="56" t="str">
        <f>IF($E4=1,VLOOKUP(P4,'Drop-down'!$P$12:$Q$17,2,FALSE),"nvt")</f>
        <v>nvt</v>
      </c>
      <c r="S4" s="56" t="str" cm="1">
        <f t="array" aca="1" ref="S4" ca="1">IF(OR(Q4=2,Q4=4),INDIRECT(S$1&amp;(T$1+$G4)),"nvt")</f>
        <v>nvt</v>
      </c>
      <c r="V4" s="56" t="str" cm="1">
        <f t="array" aca="1" ref="V4" ca="1">IF(OR($Q4=3,$Q4=5),INDIRECT(V$1&amp;(W$1+$G4)),"nvt")</f>
        <v>nvt</v>
      </c>
      <c r="Y4" s="56" t="str" cm="1">
        <f t="array" aca="1" ref="Y4" ca="1">IF($Q4=4,(INDIRECT(Y$1&amp;(Z$1+$G4))),"nvt")</f>
        <v>nvt</v>
      </c>
      <c r="AB4" s="56" t="str" cm="1">
        <f t="array" aca="1" ref="AB4" ca="1">IF(OR($Q4=5),INDIRECT(AB$1&amp;(AC$1+$G4)),"nvt")</f>
        <v>nvt</v>
      </c>
      <c r="AE4" s="56" t="str" cm="1">
        <f t="array" aca="1" ref="AE4" ca="1">IF(($Q4=6),INDIRECT(AE$1&amp;(AF$1+$G4)),"nvt")</f>
        <v>nvt</v>
      </c>
      <c r="AH4" s="37" t="str" cm="1">
        <f t="array" aca="1" ref="AH4" ca="1">IF(OR($Q4=2,$Q4=3),INDIRECT(AI$1&amp;(AJ$1+$G4)),"nvt")</f>
        <v>nvt</v>
      </c>
      <c r="AI4" s="56" t="str">
        <f t="shared" ref="AI4:AI8" ca="1" si="11">IF(AH4="nvt","nvt",VLOOKUP(AH4,$AH$12:$AI$19,2,FALSE))</f>
        <v>nvt</v>
      </c>
      <c r="AL4" s="37" t="str" cm="1">
        <f t="array" aca="1" ref="AL4" ca="1">IF(AH4="nvt","nvt",(INDEX(Forfaitair,$N4,$AI4)))</f>
        <v>nvt</v>
      </c>
      <c r="AM4" s="56" t="str">
        <f t="shared" ref="AM4:AM8" ca="1" si="12">IF(AI4="nvt","nvt",VLOOKUP(AL4,$AH$35:$AJ$48,2,FALSE))</f>
        <v>nvt</v>
      </c>
      <c r="AN4" s="56" t="str">
        <f t="shared" ca="1" si="3"/>
        <v>nvt</v>
      </c>
      <c r="AP4" s="37" t="str">
        <f t="shared" ca="1" si="4"/>
        <v>nvt</v>
      </c>
      <c r="AQ4" s="37" t="str">
        <f t="shared" ca="1" si="5"/>
        <v>nvt</v>
      </c>
      <c r="AR4" s="37" t="str">
        <f t="shared" ca="1" si="6"/>
        <v>nvt</v>
      </c>
      <c r="AS4" s="37" t="str">
        <f t="shared" ca="1" si="7"/>
        <v>nvt</v>
      </c>
      <c r="AT4" s="37" t="str">
        <f t="shared" ca="1" si="8"/>
        <v>nvt</v>
      </c>
      <c r="AU4" s="56" t="str">
        <f t="shared" si="9"/>
        <v>nvt</v>
      </c>
      <c r="AW4" s="37" t="str" cm="1">
        <f t="array" aca="1" ref="AW4" ca="1">INDIRECT(AW$1&amp;(AX$1+$G4))</f>
        <v>zuid</v>
      </c>
      <c r="AX4" s="24" t="str">
        <f>IF($E4=1,VLOOKUP(AW4,'Drop-down'!$AW$12:$AX$20,2,FALSE),"nvt")</f>
        <v>nvt</v>
      </c>
      <c r="AZ4" s="37" cm="1">
        <f t="array" aca="1" ref="AZ4" ca="1">INDIRECT(AZ$1&amp;(BA$1+$G4))</f>
        <v>0</v>
      </c>
      <c r="BA4" s="24">
        <f t="shared" ca="1" si="10"/>
        <v>0</v>
      </c>
      <c r="BC4" s="37" t="str" cm="1">
        <f t="array" aca="1" ref="BC4" ca="1">INDIRECT(BC$1&amp;(BD$1+$G4))</f>
        <v>onbekend</v>
      </c>
      <c r="BD4" s="24" t="str">
        <f>IF($E4=1,VLOOKUP(BC4,'Drop-down'!$BC$12:$BD$15,2,FALSE),"nvt")</f>
        <v>nvt</v>
      </c>
      <c r="BF4" s="37" t="str" cm="1">
        <f t="array" aca="1" ref="BF4" ca="1">INDIRECT(BF$1&amp;(BG$1+$G4))</f>
        <v>geen of minimale belemmering</v>
      </c>
      <c r="BG4" s="24" t="str">
        <f>IF($E4=1,VLOOKUP(BF4,'Drop-down'!$BF$12:$BG$16,2,FALSE),"nvt")</f>
        <v>nvt</v>
      </c>
      <c r="BI4" s="37" cm="1">
        <f t="array" aca="1" ref="BI4" ca="1">INDIRECT(BI$1&amp;(BJ$1+$G4))</f>
        <v>0</v>
      </c>
      <c r="BJ4" s="24">
        <f ca="1">IF(BI4=0,0,(VLOOKUP(BI4,'Drop-down'!$BI$12:$BJ$14,2,FALSE)))</f>
        <v>0</v>
      </c>
    </row>
    <row r="5" spans="2:62" x14ac:dyDescent="0.3">
      <c r="B5" s="22" t="s">
        <v>102</v>
      </c>
      <c r="C5" s="31">
        <v>4</v>
      </c>
      <c r="D5" s="34" t="str">
        <f>aanwezig4</f>
        <v>nee</v>
      </c>
      <c r="E5" s="55">
        <f t="shared" si="0"/>
        <v>0</v>
      </c>
      <c r="G5">
        <v>60</v>
      </c>
      <c r="H5" s="22" t="s">
        <v>102</v>
      </c>
      <c r="I5" s="31">
        <f ca="1">IF($V5=1,$E4+1,0)</f>
        <v>0</v>
      </c>
      <c r="J5" s="34" t="str" cm="1">
        <f t="array" aca="1" ref="J5" ca="1">INDIRECT($I$1&amp;($J$1+$G5))</f>
        <v>nieuw systeem</v>
      </c>
      <c r="K5" s="55" t="str">
        <f t="shared" si="1"/>
        <v>nvt</v>
      </c>
      <c r="M5" s="37" cm="1">
        <f t="array" aca="1" ref="M5" ca="1">INDIRECT(M$1&amp;(N$1+$G5))</f>
        <v>0</v>
      </c>
      <c r="N5" s="55">
        <f t="shared" ca="1" si="2"/>
        <v>1</v>
      </c>
      <c r="P5" s="37" t="str" cm="1">
        <f t="array" aca="1" ref="P5" ca="1">INDIRECT(P$1&amp;(Q$1+$G5))</f>
        <v>Maak een keuze</v>
      </c>
      <c r="Q5" s="55" t="str">
        <f>IF($E5=1,VLOOKUP(P5,'Drop-down'!$P$12:$Q$17,2,FALSE),"nvt")</f>
        <v>nvt</v>
      </c>
      <c r="S5" s="55" t="str" cm="1">
        <f t="array" aca="1" ref="S5" ca="1">IF(OR(Q5=2,Q5=4),INDIRECT(S$1&amp;(T$1+$G5)),"nvt")</f>
        <v>nvt</v>
      </c>
      <c r="V5" s="55" t="str" cm="1">
        <f t="array" aca="1" ref="V5" ca="1">IF(OR($Q5=3,$Q5=5),INDIRECT(V$1&amp;(W$1+$G5)),"nvt")</f>
        <v>nvt</v>
      </c>
      <c r="Y5" s="55" t="str" cm="1">
        <f t="array" aca="1" ref="Y5" ca="1">IF($Q5=4,(INDIRECT(Y$1&amp;(Z$1+$G5))),"nvt")</f>
        <v>nvt</v>
      </c>
      <c r="AB5" s="55" t="str" cm="1">
        <f t="array" aca="1" ref="AB5" ca="1">IF(OR($Q5=5),INDIRECT(AB$1&amp;(AC$1+$G5)),"nvt")</f>
        <v>nvt</v>
      </c>
      <c r="AE5" s="55" t="str" cm="1">
        <f t="array" aca="1" ref="AE5" ca="1">IF(($Q5=6),INDIRECT(AE$1&amp;(AF$1+$G5)),"nvt")</f>
        <v>nvt</v>
      </c>
      <c r="AH5" s="37" t="str" cm="1">
        <f t="array" aca="1" ref="AH5" ca="1">IF(OR($Q5=2,$Q5=3),INDIRECT(AI$1&amp;(AJ$1+$G5)),"nvt")</f>
        <v>nvt</v>
      </c>
      <c r="AI5" s="55" t="str">
        <f t="shared" ca="1" si="11"/>
        <v>nvt</v>
      </c>
      <c r="AL5" s="37" t="str" cm="1">
        <f t="array" aca="1" ref="AL5" ca="1">IF(AH5="nvt","nvt",(INDEX(Forfaitair,$N5,$AI5)))</f>
        <v>nvt</v>
      </c>
      <c r="AM5" s="55" t="str">
        <f t="shared" ca="1" si="12"/>
        <v>nvt</v>
      </c>
      <c r="AN5" s="55" t="str">
        <f t="shared" ca="1" si="3"/>
        <v>nvt</v>
      </c>
      <c r="AP5" s="37" t="str">
        <f ca="1">IF(AN5="nvt","nvt",S5*AN5)</f>
        <v>nvt</v>
      </c>
      <c r="AQ5" s="37" t="str">
        <f t="shared" ca="1" si="5"/>
        <v>nvt</v>
      </c>
      <c r="AR5" s="37" t="str">
        <f t="shared" ca="1" si="6"/>
        <v>nvt</v>
      </c>
      <c r="AS5" s="37" t="str">
        <f t="shared" ca="1" si="7"/>
        <v>nvt</v>
      </c>
      <c r="AT5" s="37" t="str">
        <f t="shared" ca="1" si="8"/>
        <v>nvt</v>
      </c>
      <c r="AU5" s="55" t="str">
        <f>IF($Q5="nvt","nvt",IF($Q5=1,"nog te berekenen",(HLOOKUP($Q5,$AP$1:$AT$8,$C5+1,FALSE))))</f>
        <v>nvt</v>
      </c>
      <c r="AW5" s="37" t="str" cm="1">
        <f t="array" aca="1" ref="AW5" ca="1">INDIRECT(AW$1&amp;(AX$1+$G5))</f>
        <v>zuid</v>
      </c>
      <c r="AX5" s="23" t="str">
        <f>IF($E5=1,VLOOKUP(AW5,'Drop-down'!$AW$12:$AX$20,2,FALSE),"nvt")</f>
        <v>nvt</v>
      </c>
      <c r="AZ5" s="37" cm="1">
        <f t="array" aca="1" ref="AZ5" ca="1">INDIRECT(AZ$1&amp;(BA$1+$G5))</f>
        <v>0</v>
      </c>
      <c r="BA5" s="23">
        <f t="shared" ca="1" si="10"/>
        <v>0</v>
      </c>
      <c r="BC5" s="37" t="str" cm="1">
        <f t="array" aca="1" ref="BC5" ca="1">INDIRECT(BC$1&amp;(BD$1+$G5))</f>
        <v>onbekend</v>
      </c>
      <c r="BD5" s="23" t="str">
        <f>IF($E5=1,VLOOKUP(BC5,'Drop-down'!$BC$12:$BD$15,2,FALSE),"nvt")</f>
        <v>nvt</v>
      </c>
      <c r="BF5" s="37" t="str" cm="1">
        <f t="array" aca="1" ref="BF5" ca="1">INDIRECT(BF$1&amp;(BG$1+$G5))</f>
        <v>geen of minimale belemmering</v>
      </c>
      <c r="BG5" s="23" t="str">
        <f>IF($E5=1,VLOOKUP(BF5,'Drop-down'!$BF$12:$BG$16,2,FALSE),"nvt")</f>
        <v>nvt</v>
      </c>
      <c r="BI5" s="37" cm="1">
        <f t="array" aca="1" ref="BI5" ca="1">INDIRECT(BI$1&amp;(BJ$1+$G5))</f>
        <v>0</v>
      </c>
      <c r="BJ5" s="23">
        <f ca="1">IF(BI5=0,0,(VLOOKUP(BI5,'Drop-down'!$BI$12:$BJ$14,2,FALSE)))</f>
        <v>0</v>
      </c>
    </row>
    <row r="6" spans="2:62" x14ac:dyDescent="0.3">
      <c r="B6" s="22" t="s">
        <v>103</v>
      </c>
      <c r="C6" s="31">
        <v>5</v>
      </c>
      <c r="D6" s="34" t="str">
        <f>aanwezig5</f>
        <v>nee</v>
      </c>
      <c r="E6" s="56">
        <f t="shared" si="0"/>
        <v>0</v>
      </c>
      <c r="G6">
        <v>80</v>
      </c>
      <c r="H6" s="22" t="s">
        <v>103</v>
      </c>
      <c r="I6" s="31">
        <f ca="1">IF($V6=1,$E5+1,0)</f>
        <v>0</v>
      </c>
      <c r="J6" s="34" t="str" cm="1">
        <f t="array" aca="1" ref="J6" ca="1">INDIRECT($I$1&amp;($J$1+$G6))</f>
        <v>nieuw systeem</v>
      </c>
      <c r="K6" s="56" t="str">
        <f t="shared" si="1"/>
        <v>nvt</v>
      </c>
      <c r="M6" s="37" cm="1">
        <f t="array" aca="1" ref="M6" ca="1">INDIRECT(M$1&amp;(N$1+$G6))</f>
        <v>0</v>
      </c>
      <c r="N6" s="56">
        <f t="shared" ca="1" si="2"/>
        <v>1</v>
      </c>
      <c r="P6" s="37" t="str" cm="1">
        <f t="array" aca="1" ref="P6" ca="1">INDIRECT(P$1&amp;(Q$1+$G6))</f>
        <v>Maak een keuze</v>
      </c>
      <c r="Q6" s="56" t="str">
        <f>IF($E6=1,VLOOKUP(P6,'Drop-down'!$P$12:$Q$17,2,FALSE),"nvt")</f>
        <v>nvt</v>
      </c>
      <c r="S6" s="56" t="str" cm="1">
        <f t="array" aca="1" ref="S6" ca="1">IF(OR(Q6=2,Q6=4),INDIRECT(S$1&amp;(T$1+$G6)),"nvt")</f>
        <v>nvt</v>
      </c>
      <c r="V6" s="56" t="str" cm="1">
        <f t="array" aca="1" ref="V6" ca="1">IF(OR($Q6=3,$Q6=5),INDIRECT(V$1&amp;(W$1+$G6)),"nvt")</f>
        <v>nvt</v>
      </c>
      <c r="Y6" s="56" t="str" cm="1">
        <f t="array" aca="1" ref="Y6" ca="1">IF($Q6=4,(INDIRECT(Y$1&amp;(Z$1+$G6))),"nvt")</f>
        <v>nvt</v>
      </c>
      <c r="AB6" s="56" t="str" cm="1">
        <f t="array" aca="1" ref="AB6" ca="1">IF(OR($Q6=5),INDIRECT(AB$1&amp;(AC$1+$G6)),"nvt")</f>
        <v>nvt</v>
      </c>
      <c r="AE6" s="56" t="str" cm="1">
        <f t="array" aca="1" ref="AE6" ca="1">IF(($Q6=6),INDIRECT(AE$1&amp;(AF$1+$G6)),"nvt")</f>
        <v>nvt</v>
      </c>
      <c r="AH6" s="37" t="str" cm="1">
        <f t="array" aca="1" ref="AH6" ca="1">IF(OR($Q6=2,$Q6=3),INDIRECT(AI$1&amp;(AJ$1+$G6)),"nvt")</f>
        <v>nvt</v>
      </c>
      <c r="AI6" s="56" t="str">
        <f t="shared" ca="1" si="11"/>
        <v>nvt</v>
      </c>
      <c r="AL6" s="37" t="str" cm="1">
        <f t="array" aca="1" ref="AL6" ca="1">IF(AH6="nvt","nvt",(INDEX(Forfaitair,$N6,$AI6)))</f>
        <v>nvt</v>
      </c>
      <c r="AM6" s="56" t="str">
        <f t="shared" ca="1" si="12"/>
        <v>nvt</v>
      </c>
      <c r="AN6" s="56" t="str">
        <f t="shared" ca="1" si="3"/>
        <v>nvt</v>
      </c>
      <c r="AP6" s="37" t="str">
        <f t="shared" ca="1" si="4"/>
        <v>nvt</v>
      </c>
      <c r="AQ6" s="37" t="str">
        <f t="shared" ca="1" si="5"/>
        <v>nvt</v>
      </c>
      <c r="AR6" s="37" t="str">
        <f t="shared" ca="1" si="6"/>
        <v>nvt</v>
      </c>
      <c r="AS6" s="37" t="str">
        <f t="shared" ca="1" si="7"/>
        <v>nvt</v>
      </c>
      <c r="AT6" s="37" t="str">
        <f t="shared" ca="1" si="8"/>
        <v>nvt</v>
      </c>
      <c r="AU6" s="56" t="str">
        <f t="shared" si="9"/>
        <v>nvt</v>
      </c>
      <c r="AW6" s="37" t="str" cm="1">
        <f t="array" aca="1" ref="AW6" ca="1">INDIRECT(AW$1&amp;(AX$1+$G6))</f>
        <v>zuid</v>
      </c>
      <c r="AX6" s="24" t="str">
        <f>IF($E6=1,VLOOKUP(AW6,'Drop-down'!$AW$12:$AX$20,2,FALSE),"nvt")</f>
        <v>nvt</v>
      </c>
      <c r="AZ6" s="37" cm="1">
        <f t="array" aca="1" ref="AZ6" ca="1">INDIRECT(AZ$1&amp;(BA$1+$G6))</f>
        <v>0</v>
      </c>
      <c r="BA6" s="24">
        <f t="shared" ca="1" si="10"/>
        <v>0</v>
      </c>
      <c r="BC6" s="37" t="str" cm="1">
        <f t="array" aca="1" ref="BC6" ca="1">INDIRECT(BC$1&amp;(BD$1+$G6))</f>
        <v>onbekend</v>
      </c>
      <c r="BD6" s="24" t="str">
        <f>IF($E6=1,VLOOKUP(BC6,'Drop-down'!$BC$12:$BD$15,2,FALSE),"nvt")</f>
        <v>nvt</v>
      </c>
      <c r="BF6" s="37" t="str" cm="1">
        <f t="array" aca="1" ref="BF6" ca="1">INDIRECT(BF$1&amp;(BG$1+$G6))</f>
        <v>geen of minimale belemmering</v>
      </c>
      <c r="BG6" s="24" t="str">
        <f>IF($E6=1,VLOOKUP(BF6,'Drop-down'!$BF$12:$BG$16,2,FALSE),"nvt")</f>
        <v>nvt</v>
      </c>
      <c r="BI6" s="37" cm="1">
        <f t="array" aca="1" ref="BI6" ca="1">INDIRECT(BI$1&amp;(BJ$1+$G6))</f>
        <v>0</v>
      </c>
      <c r="BJ6" s="24">
        <f ca="1">IF(BI6=0,0,(VLOOKUP(BI6,'Drop-down'!$BI$12:$BJ$14,2,FALSE)))</f>
        <v>0</v>
      </c>
    </row>
    <row r="7" spans="2:62" x14ac:dyDescent="0.3">
      <c r="B7" s="22" t="s">
        <v>104</v>
      </c>
      <c r="C7" s="31">
        <v>6</v>
      </c>
      <c r="D7" s="34" t="str">
        <f>aanwezig6</f>
        <v>nee</v>
      </c>
      <c r="E7" s="55">
        <f t="shared" si="0"/>
        <v>0</v>
      </c>
      <c r="G7">
        <v>100</v>
      </c>
      <c r="H7" s="22" t="s">
        <v>104</v>
      </c>
      <c r="I7" s="31">
        <f ca="1">IF($V7=1,$E6+1,0)</f>
        <v>0</v>
      </c>
      <c r="J7" s="34" t="str" cm="1">
        <f t="array" aca="1" ref="J7" ca="1">INDIRECT($I$1&amp;($J$1+$G7))</f>
        <v>nieuw systeem</v>
      </c>
      <c r="K7" s="55" t="str">
        <f t="shared" si="1"/>
        <v>nvt</v>
      </c>
      <c r="M7" s="37" cm="1">
        <f t="array" aca="1" ref="M7" ca="1">INDIRECT(M$1&amp;(N$1+$G7))</f>
        <v>0</v>
      </c>
      <c r="N7" s="55">
        <f t="shared" ca="1" si="2"/>
        <v>1</v>
      </c>
      <c r="P7" s="37" t="str" cm="1">
        <f t="array" aca="1" ref="P7" ca="1">INDIRECT(P$1&amp;(Q$1+$G7))</f>
        <v>Maak een keuze</v>
      </c>
      <c r="Q7" s="55" t="str">
        <f>IF($E7=1,VLOOKUP(P7,'Drop-down'!$P$12:$Q$17,2,FALSE),"nvt")</f>
        <v>nvt</v>
      </c>
      <c r="S7" s="55" t="str" cm="1">
        <f t="array" aca="1" ref="S7" ca="1">IF(OR(Q7=2,Q7=4),INDIRECT(S$1&amp;(T$1+$G7)),"nvt")</f>
        <v>nvt</v>
      </c>
      <c r="V7" s="55" t="str" cm="1">
        <f t="array" aca="1" ref="V7" ca="1">IF(OR($Q7=3,$Q7=5),INDIRECT(V$1&amp;(W$1+$G7)),"nvt")</f>
        <v>nvt</v>
      </c>
      <c r="Y7" s="55" t="str" cm="1">
        <f t="array" aca="1" ref="Y7" ca="1">IF($Q7=4,(INDIRECT(Y$1&amp;(Z$1+$G7))),"nvt")</f>
        <v>nvt</v>
      </c>
      <c r="AB7" s="55" t="str" cm="1">
        <f t="array" aca="1" ref="AB7" ca="1">IF(OR($Q7=5),INDIRECT(AB$1&amp;(AC$1+$G7)),"nvt")</f>
        <v>nvt</v>
      </c>
      <c r="AE7" s="55" t="str" cm="1">
        <f t="array" aca="1" ref="AE7" ca="1">IF(($Q7=6),INDIRECT(AE$1&amp;(AF$1+$G7)),"nvt")</f>
        <v>nvt</v>
      </c>
      <c r="AH7" s="37" t="str" cm="1">
        <f t="array" aca="1" ref="AH7" ca="1">IF(OR($Q7=2,$Q7=3),INDIRECT(AI$1&amp;(AJ$1+$G7)),"nvt")</f>
        <v>nvt</v>
      </c>
      <c r="AI7" s="55" t="str">
        <f t="shared" ca="1" si="11"/>
        <v>nvt</v>
      </c>
      <c r="AL7" s="37" t="str" cm="1">
        <f t="array" aca="1" ref="AL7" ca="1">IF(AH7="nvt","nvt",(INDEX(Forfaitair,$N7,$AI7)))</f>
        <v>nvt</v>
      </c>
      <c r="AM7" s="55" t="str">
        <f t="shared" ca="1" si="12"/>
        <v>nvt</v>
      </c>
      <c r="AN7" s="55" t="str">
        <f t="shared" ca="1" si="3"/>
        <v>nvt</v>
      </c>
      <c r="AP7" s="37" t="str">
        <f t="shared" ca="1" si="4"/>
        <v>nvt</v>
      </c>
      <c r="AQ7" s="37" t="str">
        <f t="shared" ca="1" si="5"/>
        <v>nvt</v>
      </c>
      <c r="AR7" s="37" t="str">
        <f t="shared" ca="1" si="6"/>
        <v>nvt</v>
      </c>
      <c r="AS7" s="37" t="str">
        <f t="shared" ca="1" si="7"/>
        <v>nvt</v>
      </c>
      <c r="AT7" s="37" t="str">
        <f t="shared" ca="1" si="8"/>
        <v>nvt</v>
      </c>
      <c r="AU7" s="55" t="str">
        <f t="shared" si="9"/>
        <v>nvt</v>
      </c>
      <c r="AW7" s="37" t="str" cm="1">
        <f t="array" aca="1" ref="AW7" ca="1">INDIRECT(AW$1&amp;(AX$1+$G7))</f>
        <v>zuid</v>
      </c>
      <c r="AX7" s="23" t="str">
        <f>IF($E7=1,VLOOKUP(AW7,'Drop-down'!$AW$12:$AX$20,2,FALSE),"nvt")</f>
        <v>nvt</v>
      </c>
      <c r="AZ7" s="37" cm="1">
        <f t="array" aca="1" ref="AZ7" ca="1">INDIRECT(AZ$1&amp;(BA$1+$G7))</f>
        <v>0</v>
      </c>
      <c r="BA7" s="23">
        <f t="shared" ca="1" si="10"/>
        <v>0</v>
      </c>
      <c r="BC7" s="37" t="str" cm="1">
        <f t="array" aca="1" ref="BC7" ca="1">INDIRECT(BC$1&amp;(BD$1+$G7))</f>
        <v>onbekend</v>
      </c>
      <c r="BD7" s="23" t="str">
        <f>IF($E7=1,VLOOKUP(BC7,'Drop-down'!$BC$12:$BD$15,2,FALSE),"nvt")</f>
        <v>nvt</v>
      </c>
      <c r="BF7" s="37" t="str" cm="1">
        <f t="array" aca="1" ref="BF7" ca="1">INDIRECT(BF$1&amp;(BG$1+$G7))</f>
        <v>geen of minimale belemmering</v>
      </c>
      <c r="BG7" s="23" t="str">
        <f>IF($E7=1,VLOOKUP(BF7,'Drop-down'!$BF$12:$BG$16,2,FALSE),"nvt")</f>
        <v>nvt</v>
      </c>
      <c r="BI7" s="37" cm="1">
        <f t="array" aca="1" ref="BI7" ca="1">INDIRECT(BI$1&amp;(BJ$1+$G7))</f>
        <v>0</v>
      </c>
      <c r="BJ7" s="23">
        <f ca="1">IF(BI7=0,0,(VLOOKUP(BI7,'Drop-down'!$BI$12:$BJ$14,2,FALSE)))</f>
        <v>0</v>
      </c>
    </row>
    <row r="8" spans="2:62" ht="15" thickBot="1" x14ac:dyDescent="0.35">
      <c r="B8" s="25" t="s">
        <v>105</v>
      </c>
      <c r="C8" s="32">
        <v>7</v>
      </c>
      <c r="D8" s="35" t="str">
        <f>aanwezig7</f>
        <v>nee</v>
      </c>
      <c r="E8" s="57">
        <f t="shared" si="0"/>
        <v>0</v>
      </c>
      <c r="G8">
        <v>120</v>
      </c>
      <c r="H8" s="25" t="s">
        <v>105</v>
      </c>
      <c r="I8" s="32">
        <f ca="1">IF($V8=1,$E7+1,0)</f>
        <v>0</v>
      </c>
      <c r="J8" s="35" t="str" cm="1">
        <f t="array" aca="1" ref="J8" ca="1">INDIRECT($I$1&amp;($J$1+$G8))</f>
        <v>nieuw systeem</v>
      </c>
      <c r="K8" s="57" t="str">
        <f t="shared" si="1"/>
        <v>nvt</v>
      </c>
      <c r="M8" s="38" cm="1">
        <f t="array" aca="1" ref="M8" ca="1">INDIRECT(M$1&amp;(N$1+$G8))</f>
        <v>0</v>
      </c>
      <c r="N8" s="57">
        <f t="shared" ca="1" si="2"/>
        <v>1</v>
      </c>
      <c r="P8" s="38" t="str" cm="1">
        <f t="array" aca="1" ref="P8" ca="1">INDIRECT(P$1&amp;(Q$1+$G8))</f>
        <v>Maak een keuze</v>
      </c>
      <c r="Q8" s="57" t="str">
        <f>IF($E8=1,VLOOKUP(P8,'Drop-down'!$P$12:$Q$17,2,FALSE),"nvt")</f>
        <v>nvt</v>
      </c>
      <c r="S8" s="57" t="str" cm="1">
        <f t="array" aca="1" ref="S8" ca="1">IF(OR(Q8=2,Q8=4),INDIRECT(S$1&amp;(T$1+$G8)),"nvt")</f>
        <v>nvt</v>
      </c>
      <c r="V8" s="57" t="str" cm="1">
        <f t="array" aca="1" ref="V8" ca="1">IF(OR($Q8=3,$Q8=5),INDIRECT(V$1&amp;(W$1+$G8)),"nvt")</f>
        <v>nvt</v>
      </c>
      <c r="Y8" s="57" t="str" cm="1">
        <f t="array" aca="1" ref="Y8" ca="1">IF($Q8=4,(INDIRECT(Y$1&amp;(Z$1+$G8))),"nvt")</f>
        <v>nvt</v>
      </c>
      <c r="AB8" s="57" t="str" cm="1">
        <f t="array" aca="1" ref="AB8" ca="1">IF(OR($Q8=5),INDIRECT(AB$1&amp;(AC$1+$G8)),"nvt")</f>
        <v>nvt</v>
      </c>
      <c r="AE8" s="57" t="str" cm="1">
        <f t="array" aca="1" ref="AE8" ca="1">IF(($Q8=6),INDIRECT(AE$1&amp;(AF$1+$G8)),"nvt")</f>
        <v>nvt</v>
      </c>
      <c r="AH8" s="38" t="str" cm="1">
        <f t="array" aca="1" ref="AH8" ca="1">IF(OR($Q8=2,$Q8=3),INDIRECT(AI$1&amp;(AJ$1+$G8)),"nvt")</f>
        <v>nvt</v>
      </c>
      <c r="AI8" s="57" t="str">
        <f t="shared" ca="1" si="11"/>
        <v>nvt</v>
      </c>
      <c r="AL8" s="38" t="str" cm="1">
        <f t="array" aca="1" ref="AL8" ca="1">IF(AH8="nvt","nvt",(INDEX(Forfaitair,$N8,$AI8)))</f>
        <v>nvt</v>
      </c>
      <c r="AM8" s="57" t="str">
        <f t="shared" ca="1" si="12"/>
        <v>nvt</v>
      </c>
      <c r="AN8" s="57" t="str">
        <f t="shared" ca="1" si="3"/>
        <v>nvt</v>
      </c>
      <c r="AP8" s="38" t="str">
        <f t="shared" ca="1" si="4"/>
        <v>nvt</v>
      </c>
      <c r="AQ8" s="38" t="str">
        <f t="shared" ca="1" si="5"/>
        <v>nvt</v>
      </c>
      <c r="AR8" s="38" t="str">
        <f t="shared" ca="1" si="6"/>
        <v>nvt</v>
      </c>
      <c r="AS8" s="38" t="str">
        <f t="shared" ca="1" si="7"/>
        <v>nvt</v>
      </c>
      <c r="AT8" s="38" t="str">
        <f t="shared" ca="1" si="8"/>
        <v>nvt</v>
      </c>
      <c r="AU8" s="57" t="str">
        <f t="shared" si="9"/>
        <v>nvt</v>
      </c>
      <c r="AW8" s="38" t="str" cm="1">
        <f t="array" aca="1" ref="AW8" ca="1">INDIRECT(AW$1&amp;(AX$1+$G8))</f>
        <v>zuid</v>
      </c>
      <c r="AX8" s="26" t="str">
        <f>IF($E8=1,VLOOKUP(AW8,'Drop-down'!$AW$12:$AX$20,2,FALSE),"nvt")</f>
        <v>nvt</v>
      </c>
      <c r="AZ8" s="38" cm="1">
        <f t="array" aca="1" ref="AZ8" ca="1">INDIRECT(AZ$1&amp;(BA$1+$G8))</f>
        <v>0</v>
      </c>
      <c r="BA8" s="26">
        <f t="shared" ca="1" si="10"/>
        <v>0</v>
      </c>
      <c r="BC8" s="38" t="str" cm="1">
        <f t="array" aca="1" ref="BC8" ca="1">INDIRECT(BC$1&amp;(BD$1+$G8))</f>
        <v>onbekend</v>
      </c>
      <c r="BD8" s="26" t="str">
        <f>IF($E8=1,VLOOKUP(BC8,'Drop-down'!$BC$12:$BD$15,2,FALSE),"nvt")</f>
        <v>nvt</v>
      </c>
      <c r="BF8" s="38" t="str" cm="1">
        <f t="array" aca="1" ref="BF8" ca="1">INDIRECT(BF$1&amp;(BG$1+$G8))</f>
        <v>geen of minimale belemmering</v>
      </c>
      <c r="BG8" s="26" t="str">
        <f>IF($E8=1,VLOOKUP(BF8,'Drop-down'!$BF$12:$BG$16,2,FALSE),"nvt")</f>
        <v>nvt</v>
      </c>
      <c r="BI8" s="38" cm="1">
        <f t="array" aca="1" ref="BI8" ca="1">INDIRECT(BI$1&amp;(BJ$1+$G8))</f>
        <v>0</v>
      </c>
      <c r="BJ8" s="26">
        <f ca="1">IF(BI8=0,0,(VLOOKUP(BI8,'Drop-down'!$BI$12:$BJ$14,2,FALSE)))</f>
        <v>0</v>
      </c>
    </row>
    <row r="9" spans="2:62" x14ac:dyDescent="0.3">
      <c r="Z9" s="10"/>
      <c r="AA9" s="10"/>
      <c r="AB9" s="10"/>
      <c r="AC9" s="10"/>
      <c r="AD9" s="10"/>
      <c r="AE9" s="10"/>
      <c r="AF9" s="10"/>
      <c r="AG9" s="10"/>
      <c r="AH9" s="10"/>
      <c r="AI9" s="10"/>
      <c r="AJ9" s="10"/>
      <c r="AK9" s="10"/>
      <c r="AL9" s="10"/>
      <c r="AM9" s="10"/>
      <c r="AN9" s="10"/>
      <c r="AO9" s="10"/>
      <c r="AP9" s="10"/>
      <c r="AQ9" s="10"/>
      <c r="AR9" s="10"/>
      <c r="AS9" s="10"/>
      <c r="AT9" s="10"/>
    </row>
    <row r="10" spans="2:62" x14ac:dyDescent="0.3">
      <c r="Y10" s="2"/>
      <c r="Z10" s="10"/>
      <c r="AA10" s="10"/>
      <c r="AB10" s="10"/>
      <c r="AC10" s="10"/>
      <c r="AD10" s="10"/>
      <c r="AE10" s="10"/>
      <c r="AF10" s="10"/>
      <c r="AG10" s="10"/>
      <c r="AH10" s="10"/>
      <c r="AI10" s="10"/>
      <c r="AJ10" s="10"/>
      <c r="AK10" s="10"/>
      <c r="AL10" s="10"/>
      <c r="AM10" s="10"/>
      <c r="AN10" s="10"/>
      <c r="AO10" s="10"/>
      <c r="AP10" s="10"/>
      <c r="AQ10" s="10"/>
      <c r="AR10" s="10"/>
      <c r="AS10" s="10"/>
      <c r="AT10" s="10"/>
      <c r="BI10" s="1" t="s">
        <v>374</v>
      </c>
    </row>
    <row r="11" spans="2:62" x14ac:dyDescent="0.3">
      <c r="B11" s="1"/>
      <c r="C11" s="1" t="s">
        <v>333</v>
      </c>
      <c r="D11" s="1"/>
      <c r="I11" s="1" t="s">
        <v>301</v>
      </c>
      <c r="J11" s="1"/>
      <c r="M11" s="1" t="s">
        <v>345</v>
      </c>
      <c r="N11" s="1"/>
      <c r="P11" s="1" t="s">
        <v>292</v>
      </c>
      <c r="Q11" s="1"/>
      <c r="Z11" s="10"/>
      <c r="AA11" s="10"/>
      <c r="AB11" s="10"/>
      <c r="AC11" s="10"/>
      <c r="AD11" s="10"/>
      <c r="AE11" s="10"/>
      <c r="AF11" s="10"/>
      <c r="AG11" s="10"/>
      <c r="AH11" s="1" t="s">
        <v>319</v>
      </c>
      <c r="AI11" s="1"/>
      <c r="AJ11" s="10"/>
      <c r="AK11" s="10"/>
      <c r="AL11" s="10"/>
      <c r="AM11" s="10"/>
      <c r="AN11" s="10"/>
      <c r="AO11" s="10"/>
      <c r="AP11" s="10"/>
      <c r="AQ11" s="10"/>
      <c r="AR11" s="10"/>
      <c r="AS11" s="10"/>
      <c r="AT11" s="10"/>
      <c r="AW11" s="1" t="s">
        <v>168</v>
      </c>
      <c r="AZ11" s="1" t="s">
        <v>369</v>
      </c>
      <c r="BC11" s="1" t="s">
        <v>169</v>
      </c>
      <c r="BF11" s="1" t="s">
        <v>170</v>
      </c>
    </row>
    <row r="12" spans="2:62" x14ac:dyDescent="0.3">
      <c r="C12" s="4" t="s">
        <v>334</v>
      </c>
      <c r="D12" s="4">
        <v>0</v>
      </c>
      <c r="I12" s="4" t="s">
        <v>299</v>
      </c>
      <c r="J12" s="4">
        <v>1</v>
      </c>
      <c r="M12" s="4">
        <v>0</v>
      </c>
      <c r="N12" s="4">
        <v>1</v>
      </c>
      <c r="P12" s="4" t="s">
        <v>290</v>
      </c>
      <c r="Q12" s="4">
        <v>1</v>
      </c>
      <c r="Z12" s="10"/>
      <c r="AA12" s="10"/>
      <c r="AB12" s="10"/>
      <c r="AC12" s="10"/>
      <c r="AD12" s="10"/>
      <c r="AE12" s="10"/>
      <c r="AF12" s="10"/>
      <c r="AG12" s="10"/>
      <c r="AH12" s="4" t="s">
        <v>41</v>
      </c>
      <c r="AI12" s="4">
        <v>1</v>
      </c>
      <c r="AJ12" s="10"/>
      <c r="AK12" s="10"/>
      <c r="AL12" s="10"/>
      <c r="AM12" s="10"/>
      <c r="AN12" s="10"/>
      <c r="AO12" s="10"/>
      <c r="AP12" s="10"/>
      <c r="AQ12" s="10"/>
      <c r="AR12" s="10"/>
      <c r="AS12" s="10"/>
      <c r="AT12" s="10"/>
      <c r="AW12" s="4" t="s">
        <v>153</v>
      </c>
      <c r="AX12" s="4">
        <v>1</v>
      </c>
      <c r="BC12" s="4" t="s">
        <v>146</v>
      </c>
      <c r="BD12" s="4">
        <v>1</v>
      </c>
      <c r="BF12" s="4" t="s">
        <v>302</v>
      </c>
      <c r="BG12" s="4">
        <v>1</v>
      </c>
      <c r="BI12" s="4" t="s">
        <v>375</v>
      </c>
      <c r="BJ12" s="4">
        <v>1</v>
      </c>
    </row>
    <row r="13" spans="2:62" x14ac:dyDescent="0.3">
      <c r="C13" s="4" t="s">
        <v>335</v>
      </c>
      <c r="D13" s="4">
        <v>1</v>
      </c>
      <c r="I13" s="4" t="s">
        <v>300</v>
      </c>
      <c r="J13" s="4">
        <v>2</v>
      </c>
      <c r="M13" s="4">
        <v>2001</v>
      </c>
      <c r="N13" s="4">
        <v>2</v>
      </c>
      <c r="P13" s="4" t="s">
        <v>293</v>
      </c>
      <c r="Q13" s="4">
        <v>2</v>
      </c>
      <c r="Z13" s="10"/>
      <c r="AA13" s="10"/>
      <c r="AB13" s="10"/>
      <c r="AC13" s="10"/>
      <c r="AD13" s="10"/>
      <c r="AE13" s="10"/>
      <c r="AF13" s="10"/>
      <c r="AG13" s="10"/>
      <c r="AH13" s="4" t="s">
        <v>315</v>
      </c>
      <c r="AI13" s="4">
        <v>2</v>
      </c>
      <c r="AJ13" s="10"/>
      <c r="AK13" s="10"/>
      <c r="AL13" s="10"/>
      <c r="AM13" s="10"/>
      <c r="AN13" s="10"/>
      <c r="AO13" s="10"/>
      <c r="AP13" s="10"/>
      <c r="AQ13" s="10"/>
      <c r="AR13" s="10"/>
      <c r="AS13" s="10"/>
      <c r="AT13" s="10"/>
      <c r="AW13" s="4" t="s">
        <v>154</v>
      </c>
      <c r="AX13" s="4">
        <v>2</v>
      </c>
      <c r="BC13" s="4" t="s">
        <v>143</v>
      </c>
      <c r="BD13" s="4">
        <v>2</v>
      </c>
      <c r="BF13" s="4" t="s">
        <v>149</v>
      </c>
      <c r="BG13" s="4">
        <v>2</v>
      </c>
      <c r="BI13" s="4" t="s">
        <v>372</v>
      </c>
      <c r="BJ13" s="4">
        <v>2</v>
      </c>
    </row>
    <row r="14" spans="2:62" x14ac:dyDescent="0.3">
      <c r="M14" s="4">
        <v>2011</v>
      </c>
      <c r="N14" s="4">
        <v>3</v>
      </c>
      <c r="P14" s="4" t="s">
        <v>294</v>
      </c>
      <c r="Q14" s="4">
        <v>3</v>
      </c>
      <c r="Z14" s="10"/>
      <c r="AA14" s="10"/>
      <c r="AB14" s="10"/>
      <c r="AC14" s="10"/>
      <c r="AD14" s="10"/>
      <c r="AE14" s="10"/>
      <c r="AF14" s="10"/>
      <c r="AG14" s="10"/>
      <c r="AH14" s="4" t="s">
        <v>316</v>
      </c>
      <c r="AI14" s="4">
        <v>3</v>
      </c>
      <c r="AJ14" s="10"/>
      <c r="AK14" s="10"/>
      <c r="AL14" s="10"/>
      <c r="AM14" s="10"/>
      <c r="AN14" s="10"/>
      <c r="AO14" s="10"/>
      <c r="AP14" s="10"/>
      <c r="AQ14" s="10"/>
      <c r="AR14" s="10"/>
      <c r="AS14" s="10"/>
      <c r="AT14" s="10"/>
      <c r="AW14" s="4" t="s">
        <v>155</v>
      </c>
      <c r="AX14" s="4">
        <v>3</v>
      </c>
      <c r="BC14" s="4" t="s">
        <v>144</v>
      </c>
      <c r="BD14" s="4">
        <v>3</v>
      </c>
      <c r="BF14" s="4" t="s">
        <v>148</v>
      </c>
      <c r="BG14" s="4">
        <v>3</v>
      </c>
      <c r="BI14" s="4" t="s">
        <v>373</v>
      </c>
      <c r="BJ14" s="4">
        <v>3</v>
      </c>
    </row>
    <row r="15" spans="2:62" x14ac:dyDescent="0.3">
      <c r="M15" s="4">
        <v>2015</v>
      </c>
      <c r="N15" s="4">
        <v>4</v>
      </c>
      <c r="P15" s="4" t="s">
        <v>352</v>
      </c>
      <c r="Q15" s="4">
        <v>4</v>
      </c>
      <c r="Z15" s="10"/>
      <c r="AA15" s="10"/>
      <c r="AB15" s="10"/>
      <c r="AC15" s="10"/>
      <c r="AD15" s="10"/>
      <c r="AE15" s="10"/>
      <c r="AF15" s="10"/>
      <c r="AG15" s="10"/>
      <c r="AH15" s="4" t="s">
        <v>317</v>
      </c>
      <c r="AI15" s="4">
        <v>4</v>
      </c>
      <c r="AJ15" s="10"/>
      <c r="AK15" s="10"/>
      <c r="AL15" s="10"/>
      <c r="AM15" s="10"/>
      <c r="AN15" s="10"/>
      <c r="AO15" s="10"/>
      <c r="AP15" s="10"/>
      <c r="AQ15" s="10"/>
      <c r="AR15" s="10"/>
      <c r="AS15" s="10"/>
      <c r="AT15" s="10"/>
      <c r="AW15" s="4" t="s">
        <v>156</v>
      </c>
      <c r="AX15" s="4">
        <v>4</v>
      </c>
      <c r="BC15" s="4" t="s">
        <v>145</v>
      </c>
      <c r="BD15" s="4">
        <v>4</v>
      </c>
      <c r="BF15" s="4" t="s">
        <v>297</v>
      </c>
      <c r="BG15" s="4">
        <v>4</v>
      </c>
    </row>
    <row r="16" spans="2:62" x14ac:dyDescent="0.3">
      <c r="M16" s="4">
        <v>2018</v>
      </c>
      <c r="N16" s="4">
        <v>5</v>
      </c>
      <c r="P16" s="4" t="s">
        <v>353</v>
      </c>
      <c r="Q16" s="4">
        <v>5</v>
      </c>
      <c r="X16" s="1"/>
      <c r="Y16" s="10"/>
      <c r="Z16" s="10"/>
      <c r="AA16" s="10"/>
      <c r="AB16" s="10"/>
      <c r="AC16" s="10"/>
      <c r="AD16" s="10"/>
      <c r="AE16" s="10"/>
      <c r="AF16" s="10"/>
      <c r="AG16" s="10"/>
      <c r="AH16" s="4" t="s">
        <v>318</v>
      </c>
      <c r="AI16" s="4">
        <v>5</v>
      </c>
      <c r="AJ16" s="10"/>
      <c r="AK16" s="10"/>
      <c r="AL16" s="10"/>
      <c r="AM16" s="10"/>
      <c r="AN16" s="10"/>
      <c r="AO16" s="10"/>
      <c r="AP16" s="10"/>
      <c r="AQ16" s="10"/>
      <c r="AR16" s="10"/>
      <c r="AS16" s="10"/>
      <c r="AT16" s="10"/>
      <c r="AW16" s="4" t="s">
        <v>157</v>
      </c>
      <c r="AX16" s="4">
        <v>5</v>
      </c>
      <c r="BF16" s="4" t="s">
        <v>303</v>
      </c>
      <c r="BG16" s="4">
        <v>5</v>
      </c>
    </row>
    <row r="17" spans="12:59" x14ac:dyDescent="0.3">
      <c r="P17" s="4" t="s">
        <v>354</v>
      </c>
      <c r="Q17" s="4">
        <v>6</v>
      </c>
      <c r="X17" s="1"/>
      <c r="Y17" s="10"/>
      <c r="Z17" s="10"/>
      <c r="AA17" s="10"/>
      <c r="AB17" s="10"/>
      <c r="AC17" s="10"/>
      <c r="AD17" s="10"/>
      <c r="AE17" s="10"/>
      <c r="AF17" s="10"/>
      <c r="AG17" s="10"/>
      <c r="AH17" s="4" t="s">
        <v>33</v>
      </c>
      <c r="AI17" s="4">
        <v>6</v>
      </c>
      <c r="AJ17" s="10"/>
      <c r="AK17" s="10"/>
      <c r="AL17" s="10"/>
      <c r="AM17" s="10"/>
      <c r="AN17" s="10"/>
      <c r="AO17" s="10"/>
      <c r="AP17" s="10"/>
      <c r="AQ17" s="10"/>
      <c r="AR17" s="10"/>
      <c r="AS17" s="10"/>
      <c r="AT17" s="10"/>
      <c r="AW17" s="4" t="s">
        <v>158</v>
      </c>
      <c r="AX17" s="4">
        <v>6</v>
      </c>
      <c r="BF17" s="4"/>
      <c r="BG17" s="4"/>
    </row>
    <row r="18" spans="12:59" x14ac:dyDescent="0.3">
      <c r="X18" s="1"/>
      <c r="Y18" s="10"/>
      <c r="Z18" s="10"/>
      <c r="AA18" s="10"/>
      <c r="AB18" s="10"/>
      <c r="AC18" s="10"/>
      <c r="AD18" s="10"/>
      <c r="AE18" s="10"/>
      <c r="AF18" s="10"/>
      <c r="AG18" s="10"/>
      <c r="AH18" s="4" t="s">
        <v>34</v>
      </c>
      <c r="AI18" s="4">
        <v>7</v>
      </c>
      <c r="AJ18" s="10"/>
      <c r="AK18" s="10"/>
      <c r="AL18" s="10"/>
      <c r="AM18" s="10"/>
      <c r="AN18" s="10"/>
      <c r="AW18" s="4" t="s">
        <v>159</v>
      </c>
      <c r="AX18" s="4">
        <v>7</v>
      </c>
    </row>
    <row r="19" spans="12:59" x14ac:dyDescent="0.3">
      <c r="X19" s="1"/>
      <c r="Y19" s="10"/>
      <c r="Z19" s="10"/>
      <c r="AA19" s="10"/>
      <c r="AB19" s="10"/>
      <c r="AC19" s="10"/>
      <c r="AD19" s="10"/>
      <c r="AE19" s="10"/>
      <c r="AF19" s="10"/>
      <c r="AG19" s="10"/>
      <c r="AH19" s="4"/>
      <c r="AI19" s="4"/>
      <c r="AJ19" s="10"/>
      <c r="AK19" s="10"/>
      <c r="AL19" s="10"/>
      <c r="AM19" s="10"/>
      <c r="AN19" s="10"/>
      <c r="AW19" s="4" t="s">
        <v>160</v>
      </c>
      <c r="AX19" s="4">
        <v>8</v>
      </c>
    </row>
    <row r="20" spans="12:59" x14ac:dyDescent="0.3">
      <c r="L20" s="39" t="s">
        <v>360</v>
      </c>
      <c r="M20" s="39"/>
      <c r="N20" s="39"/>
      <c r="O20" s="39"/>
      <c r="P20" s="39"/>
      <c r="Q20" s="39"/>
      <c r="X20" s="1"/>
      <c r="Y20" s="10"/>
      <c r="Z20" s="10"/>
      <c r="AA20" s="10"/>
      <c r="AB20" s="10"/>
      <c r="AC20" s="10"/>
      <c r="AD20" s="10"/>
      <c r="AE20" s="10"/>
      <c r="AF20" s="10"/>
      <c r="AG20" s="10"/>
      <c r="AH20" s="10"/>
      <c r="AI20" s="10"/>
      <c r="AJ20" s="10"/>
      <c r="AK20" s="10"/>
      <c r="AL20" s="10"/>
      <c r="AM20" s="10"/>
      <c r="AN20" s="10"/>
      <c r="AW20" s="4" t="s">
        <v>161</v>
      </c>
      <c r="AX20" s="4">
        <v>9</v>
      </c>
    </row>
    <row r="21" spans="12:59" ht="15" thickBot="1" x14ac:dyDescent="0.35">
      <c r="L21" s="39"/>
      <c r="M21" s="40" t="s">
        <v>356</v>
      </c>
      <c r="N21" s="39"/>
      <c r="O21" s="39"/>
      <c r="P21" s="41"/>
      <c r="Q21" s="41"/>
      <c r="AD21" s="39"/>
      <c r="AE21" s="39"/>
      <c r="AF21" s="39" t="s">
        <v>363</v>
      </c>
      <c r="AG21" s="39"/>
      <c r="AH21" s="39"/>
      <c r="AI21" s="39"/>
      <c r="AJ21" s="39"/>
      <c r="AK21" s="39"/>
      <c r="AL21" s="39"/>
      <c r="AW21" s="4"/>
      <c r="AX21" s="4"/>
    </row>
    <row r="22" spans="12:59" x14ac:dyDescent="0.3">
      <c r="L22" s="42"/>
      <c r="M22" s="43">
        <v>2</v>
      </c>
      <c r="N22" s="44">
        <v>3</v>
      </c>
      <c r="O22" s="43">
        <v>4</v>
      </c>
      <c r="P22" s="43">
        <v>5</v>
      </c>
      <c r="Q22" s="45">
        <v>6</v>
      </c>
      <c r="AD22" s="39"/>
      <c r="AE22" s="39"/>
      <c r="AF22" s="39"/>
      <c r="AG22" s="39"/>
      <c r="AH22" s="39"/>
      <c r="AI22" s="39"/>
      <c r="AJ22" s="39"/>
      <c r="AK22" s="39"/>
      <c r="AL22" s="39"/>
    </row>
    <row r="23" spans="12:59" x14ac:dyDescent="0.3">
      <c r="L23" s="46">
        <v>1</v>
      </c>
      <c r="M23" s="47"/>
      <c r="N23" s="48"/>
      <c r="O23" s="47"/>
      <c r="P23" s="47"/>
      <c r="Q23" s="49"/>
      <c r="AD23" s="39"/>
      <c r="AE23" s="39"/>
      <c r="AF23" s="39" t="s">
        <v>359</v>
      </c>
      <c r="AG23" s="39"/>
      <c r="AH23" s="39"/>
      <c r="AI23" s="39"/>
      <c r="AJ23" s="39"/>
      <c r="AK23" s="39"/>
      <c r="AL23" s="39"/>
    </row>
    <row r="24" spans="12:59" ht="16.2" x14ac:dyDescent="0.3">
      <c r="L24" s="46">
        <v>2</v>
      </c>
      <c r="M24" s="47" t="s">
        <v>324</v>
      </c>
      <c r="N24" s="48" t="s">
        <v>326</v>
      </c>
      <c r="O24" s="47"/>
      <c r="P24" s="47">
        <v>0</v>
      </c>
      <c r="Q24" s="49" t="s">
        <v>357</v>
      </c>
      <c r="AD24" s="39"/>
      <c r="AE24" s="39"/>
      <c r="AF24" s="47" t="s">
        <v>41</v>
      </c>
      <c r="AG24" s="47" t="s">
        <v>315</v>
      </c>
      <c r="AH24" s="47" t="s">
        <v>316</v>
      </c>
      <c r="AI24" s="47" t="s">
        <v>317</v>
      </c>
      <c r="AJ24" s="47" t="s">
        <v>318</v>
      </c>
      <c r="AK24" s="47" t="s">
        <v>33</v>
      </c>
      <c r="AL24" s="47" t="s">
        <v>34</v>
      </c>
    </row>
    <row r="25" spans="12:59" x14ac:dyDescent="0.3">
      <c r="L25" s="46">
        <v>3</v>
      </c>
      <c r="M25" s="47" t="s">
        <v>325</v>
      </c>
      <c r="N25" s="47" t="s">
        <v>328</v>
      </c>
      <c r="O25" s="47"/>
      <c r="P25" s="47">
        <v>0</v>
      </c>
      <c r="Q25" s="49" t="s">
        <v>357</v>
      </c>
      <c r="AD25" s="39" t="s">
        <v>346</v>
      </c>
      <c r="AE25" s="39">
        <v>0</v>
      </c>
      <c r="AF25" s="39">
        <v>1</v>
      </c>
      <c r="AG25" s="39">
        <f t="shared" ref="AG25:AL25" si="13">AF25+1</f>
        <v>2</v>
      </c>
      <c r="AH25" s="39">
        <f t="shared" si="13"/>
        <v>3</v>
      </c>
      <c r="AI25" s="39">
        <f t="shared" si="13"/>
        <v>4</v>
      </c>
      <c r="AJ25" s="39">
        <f t="shared" si="13"/>
        <v>5</v>
      </c>
      <c r="AK25" s="39">
        <f t="shared" si="13"/>
        <v>6</v>
      </c>
      <c r="AL25" s="39">
        <f t="shared" si="13"/>
        <v>7</v>
      </c>
    </row>
    <row r="26" spans="12:59" ht="16.2" x14ac:dyDescent="0.3">
      <c r="L26" s="46">
        <v>4</v>
      </c>
      <c r="M26" s="47" t="s">
        <v>324</v>
      </c>
      <c r="N26" s="48" t="s">
        <v>326</v>
      </c>
      <c r="O26" s="47" t="s">
        <v>342</v>
      </c>
      <c r="P26" s="47" t="s">
        <v>140</v>
      </c>
      <c r="Q26" s="49"/>
      <c r="AD26" s="39" t="s">
        <v>347</v>
      </c>
      <c r="AE26" s="39">
        <v>1</v>
      </c>
      <c r="AF26" s="47" t="s">
        <v>310</v>
      </c>
      <c r="AG26" s="47" t="s">
        <v>305</v>
      </c>
      <c r="AH26" s="47" t="s">
        <v>310</v>
      </c>
      <c r="AI26" s="47" t="s">
        <v>163</v>
      </c>
      <c r="AJ26" s="47" t="s">
        <v>164</v>
      </c>
      <c r="AK26" s="47" t="s">
        <v>165</v>
      </c>
      <c r="AL26" s="47" t="s">
        <v>166</v>
      </c>
    </row>
    <row r="27" spans="12:59" x14ac:dyDescent="0.3">
      <c r="L27" s="46">
        <v>5</v>
      </c>
      <c r="M27" s="47" t="s">
        <v>325</v>
      </c>
      <c r="N27" s="47" t="s">
        <v>328</v>
      </c>
      <c r="O27" s="47" t="s">
        <v>343</v>
      </c>
      <c r="P27" s="47" t="s">
        <v>141</v>
      </c>
      <c r="Q27" s="49"/>
      <c r="AD27" s="39" t="s">
        <v>348</v>
      </c>
      <c r="AE27" s="39">
        <v>2</v>
      </c>
      <c r="AF27" s="47" t="s">
        <v>311</v>
      </c>
      <c r="AG27" s="47" t="s">
        <v>306</v>
      </c>
      <c r="AH27" s="47" t="s">
        <v>311</v>
      </c>
      <c r="AI27" s="47" t="s">
        <v>163</v>
      </c>
      <c r="AJ27" s="47" t="s">
        <v>164</v>
      </c>
      <c r="AK27" s="47" t="s">
        <v>165</v>
      </c>
      <c r="AL27" s="47" t="s">
        <v>166</v>
      </c>
    </row>
    <row r="28" spans="12:59" ht="15" thickBot="1" x14ac:dyDescent="0.35">
      <c r="L28" s="50">
        <v>6</v>
      </c>
      <c r="M28" s="51" t="s">
        <v>344</v>
      </c>
      <c r="N28" s="52" t="s">
        <v>327</v>
      </c>
      <c r="O28" s="51">
        <v>0</v>
      </c>
      <c r="P28" s="51">
        <v>0</v>
      </c>
      <c r="Q28" s="53"/>
      <c r="AD28" s="39" t="s">
        <v>349</v>
      </c>
      <c r="AE28" s="39">
        <v>3</v>
      </c>
      <c r="AF28" s="47" t="s">
        <v>312</v>
      </c>
      <c r="AG28" s="47" t="s">
        <v>307</v>
      </c>
      <c r="AH28" s="47" t="s">
        <v>312</v>
      </c>
      <c r="AI28" s="47" t="s">
        <v>163</v>
      </c>
      <c r="AJ28" s="47" t="s">
        <v>164</v>
      </c>
      <c r="AK28" s="47" t="s">
        <v>165</v>
      </c>
      <c r="AL28" s="47" t="s">
        <v>166</v>
      </c>
    </row>
    <row r="29" spans="12:59" x14ac:dyDescent="0.3">
      <c r="O29" s="1"/>
      <c r="AD29" s="39" t="s">
        <v>350</v>
      </c>
      <c r="AE29" s="39">
        <v>4</v>
      </c>
      <c r="AF29" s="47" t="s">
        <v>313</v>
      </c>
      <c r="AG29" s="47" t="s">
        <v>308</v>
      </c>
      <c r="AH29" s="47" t="s">
        <v>313</v>
      </c>
      <c r="AI29" s="47" t="s">
        <v>163</v>
      </c>
      <c r="AJ29" s="47" t="s">
        <v>164</v>
      </c>
      <c r="AK29" s="47" t="s">
        <v>165</v>
      </c>
      <c r="AL29" s="47" t="s">
        <v>166</v>
      </c>
    </row>
    <row r="30" spans="12:59" x14ac:dyDescent="0.3">
      <c r="X30" s="1"/>
      <c r="AD30" s="39" t="s">
        <v>351</v>
      </c>
      <c r="AE30" s="39">
        <v>5</v>
      </c>
      <c r="AF30" s="47" t="s">
        <v>314</v>
      </c>
      <c r="AG30" s="47" t="s">
        <v>309</v>
      </c>
      <c r="AH30" s="47" t="s">
        <v>314</v>
      </c>
      <c r="AI30" s="47" t="s">
        <v>163</v>
      </c>
      <c r="AJ30" s="47" t="s">
        <v>164</v>
      </c>
      <c r="AK30" s="47" t="s">
        <v>165</v>
      </c>
      <c r="AL30" s="47" t="s">
        <v>166</v>
      </c>
    </row>
    <row r="31" spans="12:59" x14ac:dyDescent="0.3">
      <c r="X31" s="1"/>
    </row>
    <row r="32" spans="12:59" x14ac:dyDescent="0.3">
      <c r="X32" s="1"/>
    </row>
    <row r="33" spans="24:38" x14ac:dyDescent="0.3">
      <c r="X33" s="1"/>
    </row>
    <row r="34" spans="24:38" x14ac:dyDescent="0.3">
      <c r="X34" s="1"/>
      <c r="AH34" s="1" t="s">
        <v>162</v>
      </c>
      <c r="AK34" s="1" t="s">
        <v>167</v>
      </c>
    </row>
    <row r="35" spans="24:38" x14ac:dyDescent="0.3">
      <c r="X35" s="1"/>
      <c r="AG35" s="4">
        <v>1</v>
      </c>
      <c r="AH35" s="4" t="s">
        <v>305</v>
      </c>
      <c r="AI35" s="4">
        <v>1</v>
      </c>
      <c r="AJ35" s="4">
        <v>125</v>
      </c>
      <c r="AL35" s="4">
        <v>1</v>
      </c>
    </row>
    <row r="36" spans="24:38" x14ac:dyDescent="0.3">
      <c r="X36" s="1"/>
      <c r="AG36" s="4">
        <v>2</v>
      </c>
      <c r="AH36" s="4" t="s">
        <v>306</v>
      </c>
      <c r="AI36" s="4">
        <v>2</v>
      </c>
      <c r="AJ36" s="4">
        <v>135</v>
      </c>
      <c r="AL36" s="4">
        <v>2</v>
      </c>
    </row>
    <row r="37" spans="24:38" x14ac:dyDescent="0.3">
      <c r="X37" s="1"/>
      <c r="AG37" s="4">
        <v>3</v>
      </c>
      <c r="AH37" s="4" t="s">
        <v>307</v>
      </c>
      <c r="AI37" s="4">
        <v>3</v>
      </c>
      <c r="AJ37" s="4">
        <v>150</v>
      </c>
      <c r="AL37" s="4">
        <v>3</v>
      </c>
    </row>
    <row r="38" spans="24:38" x14ac:dyDescent="0.3">
      <c r="X38" s="1"/>
      <c r="AG38" s="4">
        <v>4</v>
      </c>
      <c r="AH38" s="4" t="s">
        <v>308</v>
      </c>
      <c r="AI38" s="4">
        <v>4</v>
      </c>
      <c r="AJ38" s="4">
        <v>165</v>
      </c>
      <c r="AL38" s="4">
        <v>4</v>
      </c>
    </row>
    <row r="39" spans="24:38" x14ac:dyDescent="0.3">
      <c r="X39" s="1"/>
      <c r="AG39" s="4">
        <v>5</v>
      </c>
      <c r="AH39" s="4" t="s">
        <v>309</v>
      </c>
      <c r="AI39" s="4">
        <v>5</v>
      </c>
      <c r="AJ39" s="4">
        <v>175</v>
      </c>
      <c r="AL39" s="4">
        <v>5</v>
      </c>
    </row>
    <row r="40" spans="24:38" x14ac:dyDescent="0.3">
      <c r="X40" s="1"/>
      <c r="AG40" s="4">
        <v>6</v>
      </c>
      <c r="AH40" s="4" t="s">
        <v>310</v>
      </c>
      <c r="AI40" s="4">
        <v>6</v>
      </c>
      <c r="AJ40" s="4">
        <v>115</v>
      </c>
      <c r="AL40" s="4">
        <v>6</v>
      </c>
    </row>
    <row r="41" spans="24:38" x14ac:dyDescent="0.3">
      <c r="AG41" s="4">
        <v>7</v>
      </c>
      <c r="AH41" s="4" t="s">
        <v>311</v>
      </c>
      <c r="AI41" s="4">
        <v>7</v>
      </c>
      <c r="AJ41" s="4">
        <v>125</v>
      </c>
      <c r="AL41" s="4">
        <v>7</v>
      </c>
    </row>
    <row r="42" spans="24:38" x14ac:dyDescent="0.3">
      <c r="AG42" s="4">
        <v>8</v>
      </c>
      <c r="AH42" s="4" t="s">
        <v>312</v>
      </c>
      <c r="AI42" s="4">
        <v>8</v>
      </c>
      <c r="AJ42" s="4">
        <v>140</v>
      </c>
      <c r="AL42" s="4">
        <v>8</v>
      </c>
    </row>
    <row r="43" spans="24:38" x14ac:dyDescent="0.3">
      <c r="AG43" s="4">
        <v>9</v>
      </c>
      <c r="AH43" s="4" t="s">
        <v>313</v>
      </c>
      <c r="AI43" s="4">
        <v>9</v>
      </c>
      <c r="AJ43" s="4">
        <v>155</v>
      </c>
      <c r="AL43" s="4">
        <v>9</v>
      </c>
    </row>
    <row r="44" spans="24:38" x14ac:dyDescent="0.3">
      <c r="AG44" s="4">
        <v>10</v>
      </c>
      <c r="AH44" s="4" t="s">
        <v>314</v>
      </c>
      <c r="AI44" s="4">
        <v>10</v>
      </c>
      <c r="AJ44" s="4">
        <v>165</v>
      </c>
      <c r="AL44" s="4">
        <v>10</v>
      </c>
    </row>
    <row r="45" spans="24:38" x14ac:dyDescent="0.3">
      <c r="AG45" s="4">
        <v>11</v>
      </c>
      <c r="AH45" s="4" t="s">
        <v>163</v>
      </c>
      <c r="AI45" s="4">
        <v>11</v>
      </c>
      <c r="AJ45" s="4">
        <v>65</v>
      </c>
      <c r="AL45" s="4">
        <v>11</v>
      </c>
    </row>
    <row r="46" spans="24:38" x14ac:dyDescent="0.3">
      <c r="AG46" s="4">
        <v>12</v>
      </c>
      <c r="AH46" s="4" t="s">
        <v>164</v>
      </c>
      <c r="AI46" s="4">
        <v>12</v>
      </c>
      <c r="AJ46" s="4">
        <v>55</v>
      </c>
      <c r="AL46" s="4">
        <v>12</v>
      </c>
    </row>
    <row r="47" spans="24:38" x14ac:dyDescent="0.3">
      <c r="AG47" s="4">
        <v>13</v>
      </c>
      <c r="AH47" s="4" t="s">
        <v>165</v>
      </c>
      <c r="AI47" s="4">
        <v>13</v>
      </c>
      <c r="AJ47" s="4">
        <v>105</v>
      </c>
      <c r="AL47" s="4">
        <v>13</v>
      </c>
    </row>
    <row r="48" spans="24:38" x14ac:dyDescent="0.3">
      <c r="AG48" s="4">
        <v>14</v>
      </c>
      <c r="AH48" s="4" t="s">
        <v>166</v>
      </c>
      <c r="AI48" s="4">
        <v>14</v>
      </c>
      <c r="AJ48" s="4">
        <v>95</v>
      </c>
      <c r="AL48" s="4">
        <v>14</v>
      </c>
    </row>
  </sheetData>
  <phoneticPr fontId="3" type="noConversion"/>
  <pageMargins left="0.7" right="0.7" top="0.75" bottom="0.75" header="0.3" footer="0.3"/>
  <pageSetup paperSize="9" orientation="portrait" r:id="rId1"/>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E1D7-9780-40F4-95AD-BAB59D5896A1}">
  <sheetPr>
    <tabColor theme="0" tint="-0.249977111117893"/>
  </sheetPr>
  <dimension ref="B3:BN638"/>
  <sheetViews>
    <sheetView zoomScale="70" zoomScaleNormal="70" workbookViewId="0">
      <selection activeCell="I32" sqref="I32"/>
    </sheetView>
  </sheetViews>
  <sheetFormatPr defaultRowHeight="14.4" x14ac:dyDescent="0.3"/>
  <cols>
    <col min="2" max="2" width="18.44140625" customWidth="1"/>
    <col min="3" max="3" width="25.44140625" customWidth="1"/>
    <col min="4" max="4" width="15.109375" bestFit="1" customWidth="1"/>
    <col min="5" max="5" width="12" bestFit="1" customWidth="1"/>
    <col min="11" max="11" width="9.109375" customWidth="1"/>
    <col min="12" max="12" width="11.6640625" customWidth="1"/>
    <col min="13" max="13" width="9.44140625" bestFit="1" customWidth="1"/>
    <col min="20" max="20" width="10.5546875" bestFit="1" customWidth="1"/>
    <col min="23" max="25" width="10.5546875" bestFit="1" customWidth="1"/>
    <col min="49" max="49" width="10.5546875" bestFit="1" customWidth="1"/>
  </cols>
  <sheetData>
    <row r="3" spans="2:23" x14ac:dyDescent="0.3">
      <c r="B3" t="s">
        <v>15</v>
      </c>
      <c r="C3" s="114" t="s">
        <v>499</v>
      </c>
      <c r="D3" t="e">
        <f ca="1">FLOOR((D6/Gebruiksoppervlak),0.01)</f>
        <v>#DIV/0!</v>
      </c>
      <c r="E3" s="1"/>
      <c r="W3" t="s">
        <v>440</v>
      </c>
    </row>
    <row r="4" spans="2:23" x14ac:dyDescent="0.3">
      <c r="W4" t="s">
        <v>441</v>
      </c>
    </row>
    <row r="5" spans="2:23" x14ac:dyDescent="0.3">
      <c r="B5" t="s">
        <v>1</v>
      </c>
      <c r="D5" s="1" t="s">
        <v>2</v>
      </c>
      <c r="E5" s="1" t="s">
        <v>3</v>
      </c>
      <c r="F5" s="1" t="s">
        <v>4</v>
      </c>
      <c r="G5" s="1" t="s">
        <v>5</v>
      </c>
      <c r="H5" s="1" t="s">
        <v>6</v>
      </c>
      <c r="I5" s="1" t="s">
        <v>7</v>
      </c>
      <c r="J5" s="1" t="s">
        <v>8</v>
      </c>
      <c r="K5" s="1" t="s">
        <v>9</v>
      </c>
      <c r="L5" s="1" t="s">
        <v>10</v>
      </c>
      <c r="M5" s="1" t="s">
        <v>11</v>
      </c>
      <c r="N5" s="1" t="s">
        <v>12</v>
      </c>
      <c r="O5" s="1" t="s">
        <v>13</v>
      </c>
      <c r="P5" s="1" t="s">
        <v>14</v>
      </c>
    </row>
    <row r="6" spans="2:23" x14ac:dyDescent="0.3">
      <c r="B6" s="4" t="s">
        <v>437</v>
      </c>
      <c r="C6" s="4" t="s">
        <v>435</v>
      </c>
      <c r="D6" s="12">
        <f ca="1">SUM(D10:D16)</f>
        <v>0</v>
      </c>
      <c r="E6" s="4">
        <f ca="1">SUM(E10:E16)</f>
        <v>0</v>
      </c>
      <c r="F6" s="4">
        <f t="shared" ref="F6:O6" ca="1" si="0">SUM(F10:F16)</f>
        <v>0</v>
      </c>
      <c r="G6" s="4">
        <f t="shared" ca="1" si="0"/>
        <v>0</v>
      </c>
      <c r="H6" s="4">
        <f t="shared" ca="1" si="0"/>
        <v>0</v>
      </c>
      <c r="I6" s="4">
        <f t="shared" ca="1" si="0"/>
        <v>0</v>
      </c>
      <c r="J6" s="4">
        <f t="shared" ca="1" si="0"/>
        <v>0</v>
      </c>
      <c r="K6" s="4">
        <f t="shared" ca="1" si="0"/>
        <v>0</v>
      </c>
      <c r="L6" s="4">
        <f t="shared" ca="1" si="0"/>
        <v>0</v>
      </c>
      <c r="M6" s="4">
        <f t="shared" ca="1" si="0"/>
        <v>0</v>
      </c>
      <c r="N6" s="4">
        <f t="shared" ca="1" si="0"/>
        <v>0</v>
      </c>
      <c r="O6" s="4">
        <f t="shared" ca="1" si="0"/>
        <v>0</v>
      </c>
      <c r="P6" s="4">
        <f ca="1">SUM(P10:P16)</f>
        <v>0</v>
      </c>
      <c r="W6" t="s">
        <v>442</v>
      </c>
    </row>
    <row r="7" spans="2:23" x14ac:dyDescent="0.3">
      <c r="C7" t="s">
        <v>338</v>
      </c>
      <c r="D7">
        <f ca="1">SUM(E6:P6)</f>
        <v>0</v>
      </c>
    </row>
    <row r="8" spans="2:23" x14ac:dyDescent="0.3">
      <c r="B8" t="s">
        <v>439</v>
      </c>
      <c r="D8" s="1" t="s">
        <v>2</v>
      </c>
      <c r="E8" s="1" t="s">
        <v>3</v>
      </c>
      <c r="F8" s="1" t="s">
        <v>4</v>
      </c>
      <c r="G8" s="1" t="s">
        <v>5</v>
      </c>
      <c r="H8" s="1" t="s">
        <v>6</v>
      </c>
      <c r="I8" s="1" t="s">
        <v>7</v>
      </c>
      <c r="J8" s="1" t="s">
        <v>8</v>
      </c>
      <c r="K8" s="1" t="s">
        <v>9</v>
      </c>
      <c r="L8" s="1" t="s">
        <v>10</v>
      </c>
      <c r="M8" s="1" t="s">
        <v>11</v>
      </c>
      <c r="N8" s="1" t="s">
        <v>12</v>
      </c>
      <c r="O8" s="1" t="s">
        <v>13</v>
      </c>
      <c r="P8" s="1" t="s">
        <v>14</v>
      </c>
      <c r="W8" t="s">
        <v>443</v>
      </c>
    </row>
    <row r="9" spans="2:23" x14ac:dyDescent="0.3">
      <c r="B9" s="112" t="s">
        <v>436</v>
      </c>
      <c r="C9" s="112"/>
    </row>
    <row r="10" spans="2:23" x14ac:dyDescent="0.3">
      <c r="B10" s="114" t="s">
        <v>99</v>
      </c>
      <c r="C10" s="114" t="s">
        <v>435</v>
      </c>
      <c r="D10" s="114">
        <f ca="1">D22*f_Pren_renelect</f>
        <v>0</v>
      </c>
      <c r="E10" s="114">
        <f t="shared" ref="E10:P10" ca="1" si="1">E22*f_Pren_renelect</f>
        <v>0</v>
      </c>
      <c r="F10" s="114">
        <f t="shared" ca="1" si="1"/>
        <v>0</v>
      </c>
      <c r="G10" s="114">
        <f t="shared" ca="1" si="1"/>
        <v>0</v>
      </c>
      <c r="H10" s="114">
        <f t="shared" ca="1" si="1"/>
        <v>0</v>
      </c>
      <c r="I10" s="114">
        <f t="shared" ca="1" si="1"/>
        <v>0</v>
      </c>
      <c r="J10" s="114">
        <f t="shared" ca="1" si="1"/>
        <v>0</v>
      </c>
      <c r="K10" s="114">
        <f t="shared" ca="1" si="1"/>
        <v>0</v>
      </c>
      <c r="L10" s="114">
        <f t="shared" ca="1" si="1"/>
        <v>0</v>
      </c>
      <c r="M10" s="114">
        <f t="shared" ca="1" si="1"/>
        <v>0</v>
      </c>
      <c r="N10" s="114">
        <f t="shared" ca="1" si="1"/>
        <v>0</v>
      </c>
      <c r="O10" s="114">
        <f t="shared" ca="1" si="1"/>
        <v>0</v>
      </c>
      <c r="P10" s="114">
        <f t="shared" ca="1" si="1"/>
        <v>0</v>
      </c>
      <c r="W10" t="s">
        <v>444</v>
      </c>
    </row>
    <row r="11" spans="2:23" x14ac:dyDescent="0.3">
      <c r="B11" s="114" t="s">
        <v>100</v>
      </c>
      <c r="C11" s="114" t="s">
        <v>435</v>
      </c>
      <c r="D11" s="114">
        <f ca="1">D110*f_Pren_renelect</f>
        <v>0</v>
      </c>
      <c r="E11" s="114">
        <f t="shared" ref="E11:P11" ca="1" si="2">E110*f_Pren_renelect</f>
        <v>0</v>
      </c>
      <c r="F11" s="114">
        <f t="shared" ca="1" si="2"/>
        <v>0</v>
      </c>
      <c r="G11" s="114">
        <f t="shared" ca="1" si="2"/>
        <v>0</v>
      </c>
      <c r="H11" s="114">
        <f t="shared" ca="1" si="2"/>
        <v>0</v>
      </c>
      <c r="I11" s="114">
        <f t="shared" ca="1" si="2"/>
        <v>0</v>
      </c>
      <c r="J11" s="114">
        <f t="shared" ca="1" si="2"/>
        <v>0</v>
      </c>
      <c r="K11" s="114">
        <f t="shared" ca="1" si="2"/>
        <v>0</v>
      </c>
      <c r="L11" s="114">
        <f t="shared" ca="1" si="2"/>
        <v>0</v>
      </c>
      <c r="M11" s="114">
        <f t="shared" ca="1" si="2"/>
        <v>0</v>
      </c>
      <c r="N11" s="114">
        <f t="shared" ca="1" si="2"/>
        <v>0</v>
      </c>
      <c r="O11" s="114">
        <f t="shared" ca="1" si="2"/>
        <v>0</v>
      </c>
      <c r="P11" s="114">
        <f t="shared" ca="1" si="2"/>
        <v>0</v>
      </c>
    </row>
    <row r="12" spans="2:23" x14ac:dyDescent="0.3">
      <c r="B12" s="114" t="s">
        <v>101</v>
      </c>
      <c r="C12" s="114" t="s">
        <v>435</v>
      </c>
      <c r="D12" s="114">
        <f ca="1">D198*f_Pren_renelect</f>
        <v>0</v>
      </c>
      <c r="E12" s="114">
        <f t="shared" ref="E12:P12" ca="1" si="3">E198*f_Pren_renelect</f>
        <v>0</v>
      </c>
      <c r="F12" s="114">
        <f t="shared" ca="1" si="3"/>
        <v>0</v>
      </c>
      <c r="G12" s="114">
        <f t="shared" ca="1" si="3"/>
        <v>0</v>
      </c>
      <c r="H12" s="114">
        <f t="shared" ca="1" si="3"/>
        <v>0</v>
      </c>
      <c r="I12" s="114">
        <f t="shared" ca="1" si="3"/>
        <v>0</v>
      </c>
      <c r="J12" s="114">
        <f t="shared" ca="1" si="3"/>
        <v>0</v>
      </c>
      <c r="K12" s="114">
        <f t="shared" ca="1" si="3"/>
        <v>0</v>
      </c>
      <c r="L12" s="114">
        <f t="shared" ca="1" si="3"/>
        <v>0</v>
      </c>
      <c r="M12" s="114">
        <f t="shared" ca="1" si="3"/>
        <v>0</v>
      </c>
      <c r="N12" s="114">
        <f t="shared" ca="1" si="3"/>
        <v>0</v>
      </c>
      <c r="O12" s="114">
        <f t="shared" ca="1" si="3"/>
        <v>0</v>
      </c>
      <c r="P12" s="114">
        <f t="shared" ca="1" si="3"/>
        <v>0</v>
      </c>
    </row>
    <row r="13" spans="2:23" x14ac:dyDescent="0.3">
      <c r="B13" s="114" t="s">
        <v>102</v>
      </c>
      <c r="C13" s="114" t="s">
        <v>435</v>
      </c>
      <c r="D13" s="114">
        <f ca="1">D287*f_Pren_renelect</f>
        <v>0</v>
      </c>
      <c r="E13" s="114">
        <f t="shared" ref="E13:P13" ca="1" si="4">E287*f_Pren_renelect</f>
        <v>0</v>
      </c>
      <c r="F13" s="114">
        <f t="shared" ca="1" si="4"/>
        <v>0</v>
      </c>
      <c r="G13" s="114">
        <f t="shared" ca="1" si="4"/>
        <v>0</v>
      </c>
      <c r="H13" s="114">
        <f t="shared" ca="1" si="4"/>
        <v>0</v>
      </c>
      <c r="I13" s="114">
        <f t="shared" ca="1" si="4"/>
        <v>0</v>
      </c>
      <c r="J13" s="114">
        <f t="shared" ca="1" si="4"/>
        <v>0</v>
      </c>
      <c r="K13" s="114">
        <f t="shared" ca="1" si="4"/>
        <v>0</v>
      </c>
      <c r="L13" s="114">
        <f t="shared" ca="1" si="4"/>
        <v>0</v>
      </c>
      <c r="M13" s="114">
        <f t="shared" ca="1" si="4"/>
        <v>0</v>
      </c>
      <c r="N13" s="114">
        <f t="shared" ca="1" si="4"/>
        <v>0</v>
      </c>
      <c r="O13" s="114">
        <f t="shared" ca="1" si="4"/>
        <v>0</v>
      </c>
      <c r="P13" s="114">
        <f t="shared" ca="1" si="4"/>
        <v>0</v>
      </c>
    </row>
    <row r="14" spans="2:23" x14ac:dyDescent="0.3">
      <c r="B14" s="114" t="s">
        <v>103</v>
      </c>
      <c r="C14" s="114" t="s">
        <v>435</v>
      </c>
      <c r="D14" s="114">
        <f ca="1">D376*f_Pren_renelect</f>
        <v>0</v>
      </c>
      <c r="E14" s="114">
        <f t="shared" ref="E14:P14" ca="1" si="5">E376*f_Pren_renelect</f>
        <v>0</v>
      </c>
      <c r="F14" s="114">
        <f t="shared" ca="1" si="5"/>
        <v>0</v>
      </c>
      <c r="G14" s="114">
        <f t="shared" ca="1" si="5"/>
        <v>0</v>
      </c>
      <c r="H14" s="114">
        <f t="shared" ca="1" si="5"/>
        <v>0</v>
      </c>
      <c r="I14" s="114">
        <f t="shared" ca="1" si="5"/>
        <v>0</v>
      </c>
      <c r="J14" s="114">
        <f t="shared" ca="1" si="5"/>
        <v>0</v>
      </c>
      <c r="K14" s="114">
        <f t="shared" ca="1" si="5"/>
        <v>0</v>
      </c>
      <c r="L14" s="114">
        <f t="shared" ca="1" si="5"/>
        <v>0</v>
      </c>
      <c r="M14" s="114">
        <f t="shared" ca="1" si="5"/>
        <v>0</v>
      </c>
      <c r="N14" s="114">
        <f t="shared" ca="1" si="5"/>
        <v>0</v>
      </c>
      <c r="O14" s="114">
        <f t="shared" ca="1" si="5"/>
        <v>0</v>
      </c>
      <c r="P14" s="114">
        <f t="shared" ca="1" si="5"/>
        <v>0</v>
      </c>
    </row>
    <row r="15" spans="2:23" x14ac:dyDescent="0.3">
      <c r="B15" s="114" t="s">
        <v>104</v>
      </c>
      <c r="C15" s="114" t="s">
        <v>435</v>
      </c>
      <c r="D15" s="114">
        <f ca="1">D465*f_Pren_renelect</f>
        <v>0</v>
      </c>
      <c r="E15" s="114">
        <f t="shared" ref="E15:P15" ca="1" si="6">E465*f_Pren_renelect</f>
        <v>0</v>
      </c>
      <c r="F15" s="114">
        <f t="shared" ca="1" si="6"/>
        <v>0</v>
      </c>
      <c r="G15" s="114">
        <f t="shared" ca="1" si="6"/>
        <v>0</v>
      </c>
      <c r="H15" s="114">
        <f t="shared" ca="1" si="6"/>
        <v>0</v>
      </c>
      <c r="I15" s="114">
        <f t="shared" ca="1" si="6"/>
        <v>0</v>
      </c>
      <c r="J15" s="114">
        <f t="shared" ca="1" si="6"/>
        <v>0</v>
      </c>
      <c r="K15" s="114">
        <f t="shared" ca="1" si="6"/>
        <v>0</v>
      </c>
      <c r="L15" s="114">
        <f t="shared" ca="1" si="6"/>
        <v>0</v>
      </c>
      <c r="M15" s="114">
        <f t="shared" ca="1" si="6"/>
        <v>0</v>
      </c>
      <c r="N15" s="114">
        <f t="shared" ca="1" si="6"/>
        <v>0</v>
      </c>
      <c r="O15" s="114">
        <f t="shared" ca="1" si="6"/>
        <v>0</v>
      </c>
      <c r="P15" s="114">
        <f t="shared" ca="1" si="6"/>
        <v>0</v>
      </c>
    </row>
    <row r="16" spans="2:23" x14ac:dyDescent="0.3">
      <c r="B16" s="114" t="s">
        <v>105</v>
      </c>
      <c r="C16" s="114" t="s">
        <v>435</v>
      </c>
      <c r="D16" s="114">
        <f ca="1">D553*f_Pren_renelect</f>
        <v>0</v>
      </c>
      <c r="E16" s="114">
        <f t="shared" ref="E16:P16" ca="1" si="7">E553*f_Pren_renelect</f>
        <v>0</v>
      </c>
      <c r="F16" s="114">
        <f t="shared" ca="1" si="7"/>
        <v>0</v>
      </c>
      <c r="G16" s="114">
        <f t="shared" ca="1" si="7"/>
        <v>0</v>
      </c>
      <c r="H16" s="114">
        <f t="shared" ca="1" si="7"/>
        <v>0</v>
      </c>
      <c r="I16" s="114">
        <f t="shared" ca="1" si="7"/>
        <v>0</v>
      </c>
      <c r="J16" s="114">
        <f t="shared" ca="1" si="7"/>
        <v>0</v>
      </c>
      <c r="K16" s="114">
        <f t="shared" ca="1" si="7"/>
        <v>0</v>
      </c>
      <c r="L16" s="114">
        <f t="shared" ca="1" si="7"/>
        <v>0</v>
      </c>
      <c r="M16" s="114">
        <f t="shared" ca="1" si="7"/>
        <v>0</v>
      </c>
      <c r="N16" s="114">
        <f t="shared" ca="1" si="7"/>
        <v>0</v>
      </c>
      <c r="O16" s="114">
        <f t="shared" ca="1" si="7"/>
        <v>0</v>
      </c>
      <c r="P16" s="114">
        <f t="shared" ca="1" si="7"/>
        <v>0</v>
      </c>
    </row>
    <row r="17" spans="2:64" x14ac:dyDescent="0.3">
      <c r="BL17" t="s">
        <v>55</v>
      </c>
    </row>
    <row r="18" spans="2:64" x14ac:dyDescent="0.3">
      <c r="B18" s="112" t="s">
        <v>429</v>
      </c>
      <c r="C18" s="112">
        <v>1.45</v>
      </c>
      <c r="D18" s="112" t="s">
        <v>328</v>
      </c>
    </row>
    <row r="19" spans="2:64" x14ac:dyDescent="0.3">
      <c r="BL19" t="s">
        <v>56</v>
      </c>
    </row>
    <row r="21" spans="2:64" x14ac:dyDescent="0.3">
      <c r="B21" s="29" t="s">
        <v>99</v>
      </c>
      <c r="C21" s="112" t="s">
        <v>430</v>
      </c>
      <c r="D21" s="1" t="s">
        <v>2</v>
      </c>
      <c r="E21" s="1" t="s">
        <v>3</v>
      </c>
      <c r="F21" s="1" t="s">
        <v>4</v>
      </c>
      <c r="G21" s="1" t="s">
        <v>5</v>
      </c>
      <c r="H21" s="1" t="s">
        <v>6</v>
      </c>
      <c r="I21" s="1" t="s">
        <v>7</v>
      </c>
      <c r="J21" s="1" t="s">
        <v>8</v>
      </c>
      <c r="K21" s="1" t="s">
        <v>9</v>
      </c>
      <c r="L21" s="1" t="s">
        <v>10</v>
      </c>
      <c r="M21" s="1" t="s">
        <v>11</v>
      </c>
      <c r="N21" s="1" t="s">
        <v>12</v>
      </c>
      <c r="O21" s="1" t="s">
        <v>13</v>
      </c>
      <c r="P21" s="1" t="s">
        <v>14</v>
      </c>
      <c r="BL21" t="s">
        <v>60</v>
      </c>
    </row>
    <row r="22" spans="2:64" x14ac:dyDescent="0.3">
      <c r="B22" s="111" t="s">
        <v>435</v>
      </c>
      <c r="C22" t="s">
        <v>98</v>
      </c>
      <c r="D22">
        <f ca="1">SUM(E22:P22)</f>
        <v>0</v>
      </c>
      <c r="E22">
        <f ca="1">(E23*E24*E28*E30*E31)/E32</f>
        <v>0</v>
      </c>
      <c r="F22">
        <f t="shared" ref="F22:P22" ca="1" si="8">(F23*F24*F28*F30*F31)/F32</f>
        <v>0</v>
      </c>
      <c r="G22">
        <f t="shared" ca="1" si="8"/>
        <v>0</v>
      </c>
      <c r="H22">
        <f t="shared" ca="1" si="8"/>
        <v>0</v>
      </c>
      <c r="I22">
        <f t="shared" ca="1" si="8"/>
        <v>0</v>
      </c>
      <c r="J22">
        <f t="shared" ca="1" si="8"/>
        <v>0</v>
      </c>
      <c r="K22">
        <f t="shared" ca="1" si="8"/>
        <v>0</v>
      </c>
      <c r="L22">
        <f t="shared" ca="1" si="8"/>
        <v>0</v>
      </c>
      <c r="M22">
        <f t="shared" ca="1" si="8"/>
        <v>0</v>
      </c>
      <c r="N22">
        <f t="shared" ca="1" si="8"/>
        <v>0</v>
      </c>
      <c r="O22">
        <f t="shared" ca="1" si="8"/>
        <v>0</v>
      </c>
      <c r="P22">
        <f t="shared" ca="1" si="8"/>
        <v>0</v>
      </c>
      <c r="R22" t="s">
        <v>278</v>
      </c>
    </row>
    <row r="23" spans="2:64" x14ac:dyDescent="0.3">
      <c r="B23" s="111" t="s">
        <v>432</v>
      </c>
      <c r="C23" t="s">
        <v>106</v>
      </c>
      <c r="E23">
        <f ca="1">E33*E34*E35/1000</f>
        <v>20.832000000000001</v>
      </c>
      <c r="F23">
        <f t="shared" ref="F23:P23" ca="1" si="9">F33*F34*F35/1000</f>
        <v>33.129599999999996</v>
      </c>
      <c r="G23">
        <f t="shared" ca="1" si="9"/>
        <v>71.870399999999989</v>
      </c>
      <c r="H23">
        <f t="shared" ca="1" si="9"/>
        <v>115.56</v>
      </c>
      <c r="I23">
        <f t="shared" ca="1" si="9"/>
        <v>146.56800000000001</v>
      </c>
      <c r="J23">
        <f t="shared" ca="1" si="9"/>
        <v>150.696</v>
      </c>
      <c r="K23">
        <f t="shared" ca="1" si="9"/>
        <v>142.10400000000001</v>
      </c>
      <c r="L23">
        <f t="shared" ca="1" si="9"/>
        <v>131.83679999999998</v>
      </c>
      <c r="M23">
        <f t="shared" ca="1" si="9"/>
        <v>89.207999999999998</v>
      </c>
      <c r="N23">
        <f t="shared" ca="1" si="9"/>
        <v>54.460800000000006</v>
      </c>
      <c r="O23">
        <f t="shared" ca="1" si="9"/>
        <v>24.695999999999998</v>
      </c>
      <c r="P23">
        <f t="shared" ca="1" si="9"/>
        <v>15.624000000000001</v>
      </c>
      <c r="R23" t="s">
        <v>277</v>
      </c>
    </row>
    <row r="24" spans="2:64" x14ac:dyDescent="0.3">
      <c r="B24" s="111" t="s">
        <v>431</v>
      </c>
      <c r="C24" t="s">
        <v>107</v>
      </c>
      <c r="D24" s="60">
        <f ca="1">IF(OR('Drop-down'!$AU$2="nvt",'Drop-down'!$AU$2="nog te berekenen"),0,'Drop-down'!$AU$2/1000)</f>
        <v>0</v>
      </c>
      <c r="E24" s="28">
        <f ca="1">$D24</f>
        <v>0</v>
      </c>
      <c r="F24" s="28">
        <f t="shared" ref="F24:P24" ca="1" si="10">$D24</f>
        <v>0</v>
      </c>
      <c r="G24" s="28">
        <f t="shared" ca="1" si="10"/>
        <v>0</v>
      </c>
      <c r="H24" s="28">
        <f ca="1">$D24</f>
        <v>0</v>
      </c>
      <c r="I24" s="28">
        <f t="shared" ca="1" si="10"/>
        <v>0</v>
      </c>
      <c r="J24" s="28">
        <f t="shared" ca="1" si="10"/>
        <v>0</v>
      </c>
      <c r="K24" s="28">
        <f t="shared" ca="1" si="10"/>
        <v>0</v>
      </c>
      <c r="L24" s="28">
        <f t="shared" ca="1" si="10"/>
        <v>0</v>
      </c>
      <c r="M24" s="28">
        <f t="shared" ca="1" si="10"/>
        <v>0</v>
      </c>
      <c r="N24" s="28">
        <f t="shared" ca="1" si="10"/>
        <v>0</v>
      </c>
      <c r="O24" s="28">
        <f t="shared" ca="1" si="10"/>
        <v>0</v>
      </c>
      <c r="P24" s="28">
        <f t="shared" ca="1" si="10"/>
        <v>0</v>
      </c>
      <c r="R24" t="s">
        <v>337</v>
      </c>
      <c r="BL24" t="s">
        <v>59</v>
      </c>
    </row>
    <row r="25" spans="2:64" x14ac:dyDescent="0.3">
      <c r="B25" s="111"/>
      <c r="C25" s="113"/>
      <c r="D25" s="112"/>
      <c r="E25" s="112"/>
      <c r="F25" s="112"/>
      <c r="G25" s="112"/>
      <c r="H25" s="112"/>
      <c r="I25" s="112"/>
      <c r="J25" s="112"/>
      <c r="K25" s="112"/>
      <c r="L25" s="112"/>
      <c r="M25" s="112"/>
      <c r="N25" s="112"/>
      <c r="O25" s="112"/>
      <c r="P25" s="112"/>
      <c r="Q25" s="112"/>
      <c r="R25" s="112"/>
      <c r="S25" s="112"/>
      <c r="T25" s="112"/>
      <c r="U25" s="112"/>
      <c r="V25" s="112"/>
    </row>
    <row r="26" spans="2:64" x14ac:dyDescent="0.3">
      <c r="B26" s="111"/>
      <c r="C26" s="113"/>
      <c r="D26" s="112"/>
      <c r="E26" s="112"/>
      <c r="F26" s="112"/>
      <c r="G26" s="112"/>
      <c r="H26" s="112"/>
      <c r="I26" s="112"/>
      <c r="J26" s="112"/>
      <c r="K26" s="112"/>
      <c r="L26" s="112"/>
      <c r="M26" s="112"/>
      <c r="N26" s="112"/>
      <c r="O26" s="112"/>
      <c r="P26" s="112"/>
      <c r="Q26" s="112"/>
      <c r="R26" s="112"/>
      <c r="S26" s="112"/>
      <c r="T26" s="112"/>
      <c r="U26" s="112"/>
      <c r="V26" s="112"/>
      <c r="BL26" t="s">
        <v>61</v>
      </c>
    </row>
    <row r="27" spans="2:64" x14ac:dyDescent="0.3">
      <c r="B27" s="111"/>
      <c r="C27" s="113"/>
      <c r="D27" s="112"/>
      <c r="E27" s="112"/>
      <c r="F27" s="112"/>
      <c r="G27" s="112"/>
      <c r="H27" s="112"/>
      <c r="I27" s="112"/>
      <c r="J27" s="112"/>
      <c r="K27" s="112"/>
      <c r="L27" s="112"/>
      <c r="M27" s="112"/>
      <c r="N27" s="112"/>
      <c r="O27" s="112"/>
      <c r="P27" s="112"/>
      <c r="Q27" s="112"/>
      <c r="R27" s="112"/>
      <c r="S27" s="112"/>
      <c r="T27" s="112"/>
      <c r="U27" s="112"/>
      <c r="V27" s="112"/>
    </row>
    <row r="28" spans="2:64" x14ac:dyDescent="0.3">
      <c r="B28" s="108"/>
      <c r="C28" t="s">
        <v>108</v>
      </c>
      <c r="D28" s="14" cm="1">
        <f t="array" aca="1" ref="D28" ca="1">IF('Drop-down'!$BD$2=0,0,IF('Drop-down'!$BD$2="nvt",0,INDEX(Datablad!$C$26:$E$29,'Drop-down'!$BD$2,3)))</f>
        <v>0.76</v>
      </c>
      <c r="E28">
        <f ca="1">$D28</f>
        <v>0.76</v>
      </c>
      <c r="F28">
        <f t="shared" ref="F28:O28" ca="1" si="11">$D28</f>
        <v>0.76</v>
      </c>
      <c r="G28">
        <f t="shared" ca="1" si="11"/>
        <v>0.76</v>
      </c>
      <c r="H28">
        <f ca="1">$D28</f>
        <v>0.76</v>
      </c>
      <c r="I28">
        <f t="shared" ca="1" si="11"/>
        <v>0.76</v>
      </c>
      <c r="J28">
        <f t="shared" ca="1" si="11"/>
        <v>0.76</v>
      </c>
      <c r="K28">
        <f t="shared" ca="1" si="11"/>
        <v>0.76</v>
      </c>
      <c r="L28">
        <f t="shared" ca="1" si="11"/>
        <v>0.76</v>
      </c>
      <c r="M28">
        <f t="shared" ca="1" si="11"/>
        <v>0.76</v>
      </c>
      <c r="N28">
        <f t="shared" ca="1" si="11"/>
        <v>0.76</v>
      </c>
      <c r="O28">
        <f t="shared" ca="1" si="11"/>
        <v>0.76</v>
      </c>
      <c r="P28">
        <f ca="1">$D28</f>
        <v>0.76</v>
      </c>
      <c r="R28" t="s">
        <v>112</v>
      </c>
      <c r="BL28" t="s">
        <v>62</v>
      </c>
    </row>
    <row r="29" spans="2:64" x14ac:dyDescent="0.3">
      <c r="B29" s="108"/>
      <c r="C29" t="s">
        <v>118</v>
      </c>
      <c r="D29" s="14">
        <f ca="1">'Drop-down'!$BD$2</f>
        <v>1</v>
      </c>
      <c r="R29" t="s">
        <v>274</v>
      </c>
    </row>
    <row r="30" spans="2:64" x14ac:dyDescent="0.3">
      <c r="B30" s="108"/>
      <c r="C30" t="s">
        <v>109</v>
      </c>
      <c r="E30">
        <f ca="1">M86</f>
        <v>1</v>
      </c>
      <c r="F30">
        <f ca="1">N86</f>
        <v>1</v>
      </c>
      <c r="G30">
        <f t="shared" ref="G30:P30" ca="1" si="12">O86</f>
        <v>1</v>
      </c>
      <c r="H30">
        <f t="shared" ca="1" si="12"/>
        <v>1</v>
      </c>
      <c r="I30">
        <f t="shared" ca="1" si="12"/>
        <v>1</v>
      </c>
      <c r="J30">
        <f t="shared" ca="1" si="12"/>
        <v>1</v>
      </c>
      <c r="K30">
        <f t="shared" ca="1" si="12"/>
        <v>1</v>
      </c>
      <c r="L30">
        <f t="shared" ca="1" si="12"/>
        <v>1</v>
      </c>
      <c r="M30">
        <f t="shared" ca="1" si="12"/>
        <v>1</v>
      </c>
      <c r="N30">
        <f t="shared" ca="1" si="12"/>
        <v>1</v>
      </c>
      <c r="O30">
        <f t="shared" ca="1" si="12"/>
        <v>1</v>
      </c>
      <c r="P30">
        <f t="shared" ca="1" si="12"/>
        <v>1</v>
      </c>
      <c r="R30" t="s">
        <v>194</v>
      </c>
      <c r="BL30" t="s">
        <v>57</v>
      </c>
    </row>
    <row r="31" spans="2:64" x14ac:dyDescent="0.3">
      <c r="B31" s="111" t="s">
        <v>328</v>
      </c>
      <c r="C31" t="s">
        <v>110</v>
      </c>
      <c r="E31">
        <f>Datablad!$E$47</f>
        <v>0.95</v>
      </c>
      <c r="F31">
        <f>Datablad!$E$47</f>
        <v>0.95</v>
      </c>
      <c r="G31">
        <f>Datablad!$E$47</f>
        <v>0.95</v>
      </c>
      <c r="H31">
        <f>Datablad!$E$47</f>
        <v>0.95</v>
      </c>
      <c r="I31">
        <f>Datablad!$E$47</f>
        <v>0.95</v>
      </c>
      <c r="J31">
        <f>Datablad!$E$47</f>
        <v>0.95</v>
      </c>
      <c r="K31">
        <f>Datablad!$E$47</f>
        <v>0.95</v>
      </c>
      <c r="L31">
        <f>Datablad!$E$47</f>
        <v>0.95</v>
      </c>
      <c r="M31">
        <f>Datablad!$E$47</f>
        <v>0.95</v>
      </c>
      <c r="N31">
        <f>Datablad!$E$47</f>
        <v>0.95</v>
      </c>
      <c r="O31">
        <f>Datablad!$E$47</f>
        <v>0.95</v>
      </c>
      <c r="P31">
        <f>Datablad!$E$47</f>
        <v>0.95</v>
      </c>
      <c r="R31" t="s">
        <v>304</v>
      </c>
    </row>
    <row r="32" spans="2:64" x14ac:dyDescent="0.3">
      <c r="B32" s="111"/>
      <c r="C32" t="s">
        <v>111</v>
      </c>
      <c r="E32">
        <f>Datablad!$E$33</f>
        <v>1</v>
      </c>
      <c r="F32">
        <f>Datablad!$E$33</f>
        <v>1</v>
      </c>
      <c r="G32">
        <f>Datablad!$E$33</f>
        <v>1</v>
      </c>
      <c r="H32">
        <f>Datablad!$E$33</f>
        <v>1</v>
      </c>
      <c r="I32">
        <f>Datablad!$E$33</f>
        <v>1</v>
      </c>
      <c r="J32">
        <f>Datablad!$E$33</f>
        <v>1</v>
      </c>
      <c r="K32">
        <f>Datablad!$E$33</f>
        <v>1</v>
      </c>
      <c r="L32">
        <f>Datablad!$E$33</f>
        <v>1</v>
      </c>
      <c r="M32">
        <f>Datablad!$E$33</f>
        <v>1</v>
      </c>
      <c r="N32">
        <f>Datablad!$E$33</f>
        <v>1</v>
      </c>
      <c r="O32">
        <f>Datablad!$E$33</f>
        <v>1</v>
      </c>
      <c r="P32">
        <f>Datablad!$E$33</f>
        <v>1</v>
      </c>
      <c r="R32" t="s">
        <v>193</v>
      </c>
    </row>
    <row r="33" spans="2:64" x14ac:dyDescent="0.3">
      <c r="B33" s="111" t="s">
        <v>434</v>
      </c>
      <c r="C33" t="s">
        <v>113</v>
      </c>
      <c r="E33">
        <f ca="1">AW35</f>
        <v>28</v>
      </c>
      <c r="F33">
        <f t="shared" ref="F33:P33" ca="1" si="13">AX35</f>
        <v>49.3</v>
      </c>
      <c r="G33">
        <f t="shared" ca="1" si="13"/>
        <v>96.6</v>
      </c>
      <c r="H33">
        <f t="shared" ca="1" si="13"/>
        <v>160.5</v>
      </c>
      <c r="I33">
        <f t="shared" ca="1" si="13"/>
        <v>197</v>
      </c>
      <c r="J33">
        <f t="shared" ca="1" si="13"/>
        <v>209.3</v>
      </c>
      <c r="K33">
        <f t="shared" ca="1" si="13"/>
        <v>191</v>
      </c>
      <c r="L33">
        <f t="shared" ca="1" si="13"/>
        <v>177.2</v>
      </c>
      <c r="M33">
        <f t="shared" ca="1" si="13"/>
        <v>123.9</v>
      </c>
      <c r="N33">
        <f t="shared" ca="1" si="13"/>
        <v>73.2</v>
      </c>
      <c r="O33">
        <f t="shared" ca="1" si="13"/>
        <v>34.299999999999997</v>
      </c>
      <c r="P33">
        <f t="shared" ca="1" si="13"/>
        <v>21</v>
      </c>
      <c r="R33" t="s">
        <v>139</v>
      </c>
    </row>
    <row r="34" spans="2:64" x14ac:dyDescent="0.3">
      <c r="B34" s="111" t="s">
        <v>433</v>
      </c>
      <c r="C34" t="s">
        <v>84</v>
      </c>
      <c r="D34">
        <f>Datablad!$E$65</f>
        <v>8760</v>
      </c>
      <c r="E34">
        <f>Datablad!$E$53</f>
        <v>744</v>
      </c>
      <c r="F34">
        <f>Datablad!$E$54</f>
        <v>672</v>
      </c>
      <c r="G34">
        <f>Datablad!$E$55</f>
        <v>744</v>
      </c>
      <c r="H34">
        <f>Datablad!$E$56</f>
        <v>720</v>
      </c>
      <c r="I34">
        <f>Datablad!$E$57</f>
        <v>744</v>
      </c>
      <c r="J34">
        <f>Datablad!$E$58</f>
        <v>720</v>
      </c>
      <c r="K34">
        <f>Datablad!$E$59</f>
        <v>744</v>
      </c>
      <c r="L34">
        <f>Datablad!$E$60</f>
        <v>744</v>
      </c>
      <c r="M34">
        <f>Datablad!$E$61</f>
        <v>720</v>
      </c>
      <c r="N34">
        <f>Datablad!$E$62</f>
        <v>744</v>
      </c>
      <c r="O34">
        <f>Datablad!$E$63</f>
        <v>720</v>
      </c>
      <c r="P34">
        <f>Datablad!$E$64</f>
        <v>744</v>
      </c>
      <c r="R34" t="s">
        <v>192</v>
      </c>
    </row>
    <row r="35" spans="2:64" x14ac:dyDescent="0.3">
      <c r="B35" s="112"/>
      <c r="C35" t="s">
        <v>114</v>
      </c>
      <c r="E35">
        <f ca="1">P62</f>
        <v>1</v>
      </c>
      <c r="F35">
        <f t="shared" ref="F35:P35" ca="1" si="14">Q62</f>
        <v>1</v>
      </c>
      <c r="G35">
        <f t="shared" ca="1" si="14"/>
        <v>1</v>
      </c>
      <c r="H35">
        <f t="shared" ca="1" si="14"/>
        <v>1</v>
      </c>
      <c r="I35">
        <f t="shared" ca="1" si="14"/>
        <v>1</v>
      </c>
      <c r="J35">
        <f t="shared" ca="1" si="14"/>
        <v>1</v>
      </c>
      <c r="K35">
        <f t="shared" ca="1" si="14"/>
        <v>1</v>
      </c>
      <c r="L35">
        <f t="shared" ca="1" si="14"/>
        <v>1</v>
      </c>
      <c r="M35">
        <f t="shared" ca="1" si="14"/>
        <v>1</v>
      </c>
      <c r="N35">
        <f t="shared" ca="1" si="14"/>
        <v>1</v>
      </c>
      <c r="O35">
        <f t="shared" ca="1" si="14"/>
        <v>1</v>
      </c>
      <c r="P35">
        <f t="shared" ca="1" si="14"/>
        <v>1</v>
      </c>
      <c r="R35" t="s">
        <v>195</v>
      </c>
      <c r="AU35" t="s">
        <v>191</v>
      </c>
      <c r="AV35">
        <f ca="1">IF(N40&lt;30,1,IF(N40&lt;45,2,IF(N40&lt;60,3,IF(N40&lt;90,4,IF(N40&lt;135,5,IF(N40=180,7,6))))))</f>
        <v>1</v>
      </c>
      <c r="AW35" s="18">
        <f ca="1">VLOOKUP(AV35,AV40:BH46,AW37+1,FALSE)</f>
        <v>28</v>
      </c>
      <c r="AX35" s="18">
        <f ca="1">VLOOKUP(AV35,AV40:BH46,AX37+1,FALSE)</f>
        <v>49.3</v>
      </c>
      <c r="AY35" s="18">
        <f ca="1">VLOOKUP(AV35,AV40:BH46,AY37+1,FALSE)</f>
        <v>96.6</v>
      </c>
      <c r="AZ35" s="18">
        <f ca="1">VLOOKUP(AV35,AV40:BH46,AZ37+1,FALSE)</f>
        <v>160.5</v>
      </c>
      <c r="BA35" s="18">
        <f ca="1">VLOOKUP(AV35,AV40:BH46,BA37+1,FALSE)</f>
        <v>197</v>
      </c>
      <c r="BB35" s="18">
        <f ca="1">VLOOKUP(AV35,AV40:BH46,BB37+1,FALSE)</f>
        <v>209.3</v>
      </c>
      <c r="BC35" s="18">
        <f ca="1">VLOOKUP(AV35,AV40:BH46,BC37+1,FALSE)</f>
        <v>191</v>
      </c>
      <c r="BD35" s="18">
        <f ca="1">VLOOKUP(AV35,AV40:BH46,BD37+1,FALSE)</f>
        <v>177.2</v>
      </c>
      <c r="BE35" s="18">
        <f ca="1">VLOOKUP(AV35,AV40:BH46,BE37+1,FALSE)</f>
        <v>123.9</v>
      </c>
      <c r="BF35" s="18">
        <f ca="1">VLOOKUP(AV35,AV40:BH46,BF37+1,FALSE)</f>
        <v>73.2</v>
      </c>
      <c r="BG35" s="18">
        <f ca="1">VLOOKUP(AV35,AV40:BH46,BG37+1,FALSE)</f>
        <v>34.299999999999997</v>
      </c>
      <c r="BH35" s="18">
        <f ca="1">VLOOKUP(AV35,AV40:BH46,BH37+1,FALSE)</f>
        <v>21</v>
      </c>
    </row>
    <row r="36" spans="2:64" x14ac:dyDescent="0.3">
      <c r="W36" s="4" t="s">
        <v>188</v>
      </c>
      <c r="AJ36" s="4" t="s">
        <v>189</v>
      </c>
      <c r="AW36" s="4" t="s">
        <v>190</v>
      </c>
    </row>
    <row r="37" spans="2:64" x14ac:dyDescent="0.3">
      <c r="I37" s="1" t="s">
        <v>229</v>
      </c>
      <c r="W37" s="4">
        <v>1</v>
      </c>
      <c r="X37" s="4">
        <v>2</v>
      </c>
      <c r="Y37" s="4">
        <v>3</v>
      </c>
      <c r="Z37" s="4">
        <v>4</v>
      </c>
      <c r="AA37" s="4">
        <v>5</v>
      </c>
      <c r="AB37" s="4">
        <v>6</v>
      </c>
      <c r="AC37" s="4">
        <v>7</v>
      </c>
      <c r="AD37" s="4">
        <v>8</v>
      </c>
      <c r="AE37" s="4">
        <v>9</v>
      </c>
      <c r="AF37" s="4">
        <v>10</v>
      </c>
      <c r="AG37" s="4">
        <v>11</v>
      </c>
      <c r="AH37" s="4">
        <v>12</v>
      </c>
      <c r="AI37" s="10"/>
      <c r="AJ37" s="4">
        <v>1</v>
      </c>
      <c r="AK37" s="4">
        <v>2</v>
      </c>
      <c r="AL37" s="4">
        <v>3</v>
      </c>
      <c r="AM37" s="4">
        <v>4</v>
      </c>
      <c r="AN37" s="4">
        <v>5</v>
      </c>
      <c r="AO37" s="4">
        <v>6</v>
      </c>
      <c r="AP37" s="4">
        <v>7</v>
      </c>
      <c r="AQ37" s="4">
        <v>8</v>
      </c>
      <c r="AR37" s="4">
        <v>9</v>
      </c>
      <c r="AS37" s="4">
        <v>10</v>
      </c>
      <c r="AT37" s="4">
        <v>11</v>
      </c>
      <c r="AU37" s="4">
        <v>12</v>
      </c>
      <c r="AW37" s="4">
        <v>1</v>
      </c>
      <c r="AX37" s="4">
        <v>2</v>
      </c>
      <c r="AY37" s="4">
        <v>3</v>
      </c>
      <c r="AZ37" s="4">
        <v>4</v>
      </c>
      <c r="BA37" s="4">
        <v>5</v>
      </c>
      <c r="BB37" s="4">
        <v>6</v>
      </c>
      <c r="BC37" s="4">
        <v>7</v>
      </c>
      <c r="BD37" s="4">
        <v>8</v>
      </c>
      <c r="BE37" s="4">
        <v>9</v>
      </c>
      <c r="BF37" s="4">
        <v>10</v>
      </c>
      <c r="BG37" s="4">
        <v>11</v>
      </c>
      <c r="BH37" s="4">
        <v>12</v>
      </c>
    </row>
    <row r="38" spans="2:64" x14ac:dyDescent="0.3">
      <c r="L38" t="s">
        <v>366</v>
      </c>
      <c r="M38" t="s">
        <v>142</v>
      </c>
      <c r="N38" t="s">
        <v>174</v>
      </c>
      <c r="Q38" t="s">
        <v>173</v>
      </c>
      <c r="W38" s="12" t="s">
        <v>3</v>
      </c>
      <c r="X38" s="12" t="s">
        <v>4</v>
      </c>
      <c r="Y38" s="12" t="s">
        <v>5</v>
      </c>
      <c r="Z38" s="12" t="s">
        <v>6</v>
      </c>
      <c r="AA38" s="12" t="s">
        <v>7</v>
      </c>
      <c r="AB38" s="12" t="s">
        <v>8</v>
      </c>
      <c r="AC38" s="12" t="s">
        <v>9</v>
      </c>
      <c r="AD38" s="12" t="s">
        <v>10</v>
      </c>
      <c r="AE38" s="12" t="s">
        <v>11</v>
      </c>
      <c r="AF38" s="12" t="s">
        <v>12</v>
      </c>
      <c r="AG38" s="12" t="s">
        <v>13</v>
      </c>
      <c r="AH38" s="12" t="s">
        <v>14</v>
      </c>
      <c r="AI38" s="13"/>
      <c r="AJ38" s="12" t="s">
        <v>3</v>
      </c>
      <c r="AK38" s="12" t="s">
        <v>4</v>
      </c>
      <c r="AL38" s="12" t="s">
        <v>5</v>
      </c>
      <c r="AM38" s="12" t="s">
        <v>6</v>
      </c>
      <c r="AN38" s="12" t="s">
        <v>7</v>
      </c>
      <c r="AO38" s="12" t="s">
        <v>8</v>
      </c>
      <c r="AP38" s="12" t="s">
        <v>9</v>
      </c>
      <c r="AQ38" s="12" t="s">
        <v>10</v>
      </c>
      <c r="AR38" s="12" t="s">
        <v>11</v>
      </c>
      <c r="AS38" s="12" t="s">
        <v>12</v>
      </c>
      <c r="AT38" s="12" t="s">
        <v>13</v>
      </c>
      <c r="AU38" s="12" t="s">
        <v>14</v>
      </c>
      <c r="AW38" s="12" t="s">
        <v>3</v>
      </c>
      <c r="AX38" s="12" t="s">
        <v>4</v>
      </c>
      <c r="AY38" s="12" t="s">
        <v>5</v>
      </c>
      <c r="AZ38" s="12" t="s">
        <v>6</v>
      </c>
      <c r="BA38" s="12" t="s">
        <v>7</v>
      </c>
      <c r="BB38" s="12" t="s">
        <v>8</v>
      </c>
      <c r="BC38" s="12" t="s">
        <v>9</v>
      </c>
      <c r="BD38" s="12" t="s">
        <v>10</v>
      </c>
      <c r="BE38" s="12" t="s">
        <v>11</v>
      </c>
      <c r="BF38" s="12" t="s">
        <v>12</v>
      </c>
      <c r="BG38" s="12" t="s">
        <v>13</v>
      </c>
      <c r="BH38" s="12" t="s">
        <v>14</v>
      </c>
    </row>
    <row r="39" spans="2:64" x14ac:dyDescent="0.3">
      <c r="L39" t="s">
        <v>119</v>
      </c>
      <c r="N39" t="s">
        <v>119</v>
      </c>
      <c r="P39" t="s">
        <v>171</v>
      </c>
      <c r="Q39" t="s">
        <v>172</v>
      </c>
      <c r="R39" t="s">
        <v>175</v>
      </c>
      <c r="S39" t="s">
        <v>177</v>
      </c>
      <c r="T39" t="s">
        <v>178</v>
      </c>
      <c r="U39" t="s">
        <v>179</v>
      </c>
      <c r="V39" t="s">
        <v>179</v>
      </c>
      <c r="W39" s="4"/>
      <c r="X39" s="4"/>
      <c r="Y39" s="4"/>
      <c r="Z39" s="4"/>
      <c r="AA39" s="4"/>
      <c r="AB39" s="4"/>
      <c r="AC39" s="4"/>
      <c r="AD39" s="4"/>
      <c r="AE39" s="4"/>
      <c r="AF39" s="4"/>
      <c r="AG39" s="4"/>
      <c r="AH39" s="4"/>
      <c r="AI39" s="10"/>
      <c r="AJ39" s="4"/>
      <c r="AK39" s="4"/>
      <c r="AL39" s="4"/>
      <c r="AM39" s="4"/>
      <c r="AN39" s="4"/>
      <c r="AO39" s="4"/>
      <c r="AP39" s="4"/>
      <c r="AQ39" s="4"/>
      <c r="AR39" s="4"/>
      <c r="AS39" s="4"/>
      <c r="AT39" s="4"/>
      <c r="AU39" s="4"/>
      <c r="AW39" s="4"/>
      <c r="AX39" s="4"/>
      <c r="AY39" s="4"/>
      <c r="AZ39" s="4"/>
      <c r="BA39" s="4"/>
      <c r="BB39" s="4"/>
      <c r="BC39" s="4"/>
      <c r="BD39" s="4"/>
      <c r="BE39" s="4"/>
      <c r="BF39" s="4"/>
      <c r="BG39" s="4"/>
      <c r="BH39" s="4"/>
      <c r="BL39" t="s">
        <v>63</v>
      </c>
    </row>
    <row r="40" spans="2:64" x14ac:dyDescent="0.3">
      <c r="L40" s="16">
        <f ca="1">'Drop-down'!$AX$2</f>
        <v>2</v>
      </c>
      <c r="N40" s="14">
        <f ca="1">IF('Drop-down'!$BA$2="vul in",0,'Drop-down'!$BA$2)</f>
        <v>0</v>
      </c>
      <c r="P40">
        <v>0</v>
      </c>
      <c r="Q40">
        <v>1</v>
      </c>
      <c r="R40" t="str">
        <f ca="1">IF(N40=P40,"ja","nee")</f>
        <v>ja</v>
      </c>
      <c r="S40" t="str">
        <f ca="1">IF(AND(N40&gt;P40,N40&lt;P41),Q40,"n.v.t.")</f>
        <v>n.v.t.</v>
      </c>
      <c r="T40" t="str">
        <f t="shared" ref="T40:T46" ca="1" si="15">IF(S40="n.v.t.","n.v.t.",Q40+1)</f>
        <v>n.v.t.</v>
      </c>
      <c r="U40" t="str">
        <f ca="1">IF(S40="n.v.t.","n.v.t.",(P41-N40)/(P41-P40))</f>
        <v>n.v.t.</v>
      </c>
      <c r="V40" t="str">
        <f ca="1">IF(T40="n.v.t.","n.v.t.",(N40-P40)/(P41-P40))</f>
        <v>n.v.t.</v>
      </c>
      <c r="W40" s="4" cm="1">
        <f t="array" aca="1" ref="W40" ca="1">INDEX(Datablad!$E$70:$L$83,W37+2,M41)</f>
        <v>28</v>
      </c>
      <c r="X40" s="4" cm="1">
        <f t="array" aca="1" ref="X40" ca="1">INDEX(Datablad!$E$70:$L$83,X37+2,M41)</f>
        <v>49.3</v>
      </c>
      <c r="Y40" s="4" cm="1">
        <f t="array" aca="1" ref="Y40" ca="1">INDEX(Datablad!$E$70:$L$83,Y37+2,M41)</f>
        <v>96.6</v>
      </c>
      <c r="Z40" s="4" cm="1">
        <f t="array" aca="1" ref="Z40" ca="1">INDEX(Datablad!$E$70:$L$83,Z37+2,M41)</f>
        <v>160.5</v>
      </c>
      <c r="AA40" s="4" cm="1">
        <f t="array" aca="1" ref="AA40" ca="1">INDEX(Datablad!$E$70:$L$83,AA37+2,M41)</f>
        <v>197</v>
      </c>
      <c r="AB40" s="4" cm="1">
        <f t="array" aca="1" ref="AB40" ca="1">INDEX(Datablad!$E$70:$L$83,AB37+2,M41)</f>
        <v>209.3</v>
      </c>
      <c r="AC40" s="4" cm="1">
        <f t="array" aca="1" ref="AC40" ca="1">INDEX(Datablad!$E$70:$L$83,AC37+2,M41)</f>
        <v>191</v>
      </c>
      <c r="AD40" s="4" cm="1">
        <f t="array" aca="1" ref="AD40" ca="1">INDEX(Datablad!$E$70:$L$83,AD37+2,M41)</f>
        <v>177.2</v>
      </c>
      <c r="AE40" s="4" cm="1">
        <f t="array" aca="1" ref="AE40" ca="1">INDEX(Datablad!$E$70:$L$83,AE37+2,M41)</f>
        <v>123.9</v>
      </c>
      <c r="AF40" s="4" cm="1">
        <f t="array" aca="1" ref="AF40" ca="1">INDEX(Datablad!$E$70:$L$83,AF37+2,M41)</f>
        <v>73.2</v>
      </c>
      <c r="AG40" s="4" cm="1">
        <f t="array" aca="1" ref="AG40" ca="1">INDEX(Datablad!$E$70:$L$83,AG37+2,M41)</f>
        <v>34.299999999999997</v>
      </c>
      <c r="AH40" s="4" cm="1">
        <f t="array" aca="1" ref="AH40" ca="1">INDEX(Datablad!$E$70:$L$83,AH37+2,M41)</f>
        <v>21</v>
      </c>
      <c r="AI40" s="10"/>
      <c r="AJ40" s="4" cm="1">
        <f t="array" aca="1" ref="AJ40" ca="1">INDEX(Datablad!$N$70:$U$83,AJ37+2,M41)</f>
        <v>50.5</v>
      </c>
      <c r="AK40" s="4" cm="1">
        <f t="array" aca="1" ref="AK40" ca="1">INDEX(Datablad!$N$70:$U$83,AK37+2,M41)</f>
        <v>69.099999999999994</v>
      </c>
      <c r="AL40" s="4" cm="1">
        <f t="array" aca="1" ref="AL40" ca="1">INDEX(Datablad!$N$70:$U$83,AL37+2,M41)</f>
        <v>122.5</v>
      </c>
      <c r="AM40" s="4" cm="1">
        <f t="array" aca="1" ref="AM40" ca="1">INDEX(Datablad!$N$70:$U$83,AM37+2,M41)</f>
        <v>189.5</v>
      </c>
      <c r="AN40" s="4" cm="1">
        <f t="array" aca="1" ref="AN40" ca="1">INDEX(Datablad!$N$70:$U$83,AN37+2,M41)</f>
        <v>211.1</v>
      </c>
      <c r="AO40" s="4" cm="1">
        <f t="array" aca="1" ref="AO40" ca="1">INDEX(Datablad!$N$70:$U$83,AO37+2,M41)</f>
        <v>211.2</v>
      </c>
      <c r="AP40" s="4" cm="1">
        <f t="array" aca="1" ref="AP40" ca="1">INDEX(Datablad!$N$70:$U$83,AP37+2,M41)</f>
        <v>196.1</v>
      </c>
      <c r="AQ40" s="4" cm="1">
        <f t="array" aca="1" ref="AQ40" ca="1">INDEX(Datablad!$N$70:$U$83,AQ37+2,M41)</f>
        <v>197.9</v>
      </c>
      <c r="AR40" s="4" cm="1">
        <f t="array" aca="1" ref="AR40" ca="1">INDEX(Datablad!$N$70:$U$83,AR37+2,M41)</f>
        <v>154</v>
      </c>
      <c r="AS40" s="4" cm="1">
        <f t="array" aca="1" ref="AS40" ca="1">INDEX(Datablad!$N$70:$U$83,AS37+2,M41)</f>
        <v>102.4</v>
      </c>
      <c r="AT40" s="4" cm="1">
        <f t="array" aca="1" ref="AT40" ca="1">INDEX(Datablad!$N$70:$U$83,AT37+2,M41)</f>
        <v>54.8</v>
      </c>
      <c r="AU40" s="4" cm="1">
        <f t="array" aca="1" ref="AU40" ca="1">INDEX(Datablad!$N$70:$U$83,AU37+2,M41)</f>
        <v>38.299999999999997</v>
      </c>
      <c r="AV40">
        <v>1</v>
      </c>
      <c r="AW40" s="4">
        <f t="shared" ref="AW40:AW46" ca="1" si="16">IF(R40="ja",W40,IF(S40="n.v.t.","n.v.t.",U40*W40+V40*AJ40))</f>
        <v>28</v>
      </c>
      <c r="AX40" s="4">
        <f t="shared" ref="AX40:AX46" ca="1" si="17">IF(R40="ja",X40,IF(S40="n.v.t.","n.v.t.",U40*X40+V40*AK40))</f>
        <v>49.3</v>
      </c>
      <c r="AY40" s="4">
        <f t="shared" ref="AY40:AY46" ca="1" si="18">IF(R40="ja",Y40,IF(S40="n.v.t.","n.v.t.",U40*Y40+V40*AL40))</f>
        <v>96.6</v>
      </c>
      <c r="AZ40" s="4">
        <f t="shared" ref="AZ40:AZ46" ca="1" si="19">IF(R40="ja",Z40,IF(S40="n.v.t.","n.v.t.",U40*Z40+V40*AM40))</f>
        <v>160.5</v>
      </c>
      <c r="BA40" s="4">
        <f t="shared" ref="BA40:BA46" ca="1" si="20">IF(R40="ja",AA40,IF(S40="n.v.t.","n.v.t.",U40*AA40+V40*AN40))</f>
        <v>197</v>
      </c>
      <c r="BB40" s="4">
        <f t="shared" ref="BB40:BB46" ca="1" si="21">IF(R40="ja",AB40,IF(S40="n.v.t.","n.v.t.",U40*AB40+V40*AO40))</f>
        <v>209.3</v>
      </c>
      <c r="BC40" s="4">
        <f t="shared" ref="BC40:BC46" ca="1" si="22">IF(R40="ja",AC40,IF(S40="n.v.t.","n.v.t.",U40*AC40+V40*AP40))</f>
        <v>191</v>
      </c>
      <c r="BD40" s="4">
        <f t="shared" ref="BD40:BD46" ca="1" si="23">IF(R40="ja",AD40,IF(S40="n.v.t.","n.v.t.",U40*AD40+V40*AQ40))</f>
        <v>177.2</v>
      </c>
      <c r="BE40" s="4">
        <f t="shared" ref="BE40:BE46" ca="1" si="24">IF(R40="ja",AE40,IF(S40="n.v.t.","n.v.t.",U40*AE40+V40*AR40))</f>
        <v>123.9</v>
      </c>
      <c r="BF40" s="4">
        <f t="shared" ref="BF40:BF46" ca="1" si="25">IF(R40="ja",AF40,IF(S40="n.v.t.","n.v.t.",U40*AF40+V40*AS40))</f>
        <v>73.2</v>
      </c>
      <c r="BG40" s="4">
        <f t="shared" ref="BG40:BG46" ca="1" si="26">IF(R40="ja",AG40,IF(S40="n.v.t.","n.v.t.",U40*AG40+V40*AT40))</f>
        <v>34.299999999999997</v>
      </c>
      <c r="BH40" s="4">
        <f t="shared" ref="BH40:BH46" ca="1" si="27">IF(R40="ja",AH40,IF(S40="n.v.t.","n.v.t.",U40*AH40+V40*AU40))</f>
        <v>21</v>
      </c>
    </row>
    <row r="41" spans="2:64" x14ac:dyDescent="0.3">
      <c r="L41" t="s">
        <v>187</v>
      </c>
      <c r="M41" s="58">
        <f ca="1">VLOOKUP(L40,K44:M52,3,FALSE)</f>
        <v>5</v>
      </c>
      <c r="P41">
        <v>30</v>
      </c>
      <c r="Q41">
        <v>2</v>
      </c>
      <c r="R41" t="str">
        <f ca="1">IF(N40=P41,"ja","nee")</f>
        <v>nee</v>
      </c>
      <c r="S41" t="str">
        <f ca="1">IF(AND(N40&gt;P41,N40&lt;P42),Q41,"n.v.t.")</f>
        <v>n.v.t.</v>
      </c>
      <c r="T41" t="str">
        <f t="shared" ca="1" si="15"/>
        <v>n.v.t.</v>
      </c>
      <c r="U41" t="str">
        <f ca="1">IF(S41="n.v.t.","n.v.t.",(P42-N40)/(P42-P41))</f>
        <v>n.v.t.</v>
      </c>
      <c r="V41" t="str">
        <f ca="1">IF(T41="n.v.t.","n.v.t.",(N40-P41)/(P42-P41))</f>
        <v>n.v.t.</v>
      </c>
      <c r="W41" s="4" cm="1">
        <f t="array" aca="1" ref="W41" ca="1">INDEX(Datablad!$N$70:$U$83,W37+2,M41)</f>
        <v>50.5</v>
      </c>
      <c r="X41" s="4" cm="1">
        <f t="array" aca="1" ref="X41" ca="1">INDEX(Datablad!$N$70:$U$83,X37+2,M41)</f>
        <v>69.099999999999994</v>
      </c>
      <c r="Y41" s="4" cm="1">
        <f t="array" aca="1" ref="Y41" ca="1">INDEX(Datablad!$N$70:$U$83,Y37+2,M41)</f>
        <v>122.5</v>
      </c>
      <c r="Z41" s="4" cm="1">
        <f t="array" aca="1" ref="Z41" ca="1">INDEX(Datablad!$N$70:$U$83,Z37+2,M41)</f>
        <v>189.5</v>
      </c>
      <c r="AA41" s="4" cm="1">
        <f t="array" aca="1" ref="AA41" ca="1">INDEX(Datablad!$N$70:$U$83,AA37+2,M41)</f>
        <v>211.1</v>
      </c>
      <c r="AB41" s="4" cm="1">
        <f t="array" aca="1" ref="AB41" ca="1">INDEX(Datablad!$N$70:$U$83,AB37+2,M41)</f>
        <v>211.2</v>
      </c>
      <c r="AC41" s="4" cm="1">
        <f t="array" aca="1" ref="AC41" ca="1">INDEX(Datablad!$N$70:$U$83,AC37+2,M41)</f>
        <v>196.1</v>
      </c>
      <c r="AD41" s="4" cm="1">
        <f t="array" aca="1" ref="AD41" ca="1">INDEX(Datablad!$N$70:$U$83,AD37+2,M41)</f>
        <v>197.9</v>
      </c>
      <c r="AE41" s="4" cm="1">
        <f t="array" aca="1" ref="AE41" ca="1">INDEX(Datablad!$N$70:$U$83,AE37+2,M41)</f>
        <v>154</v>
      </c>
      <c r="AF41" s="4" cm="1">
        <f t="array" aca="1" ref="AF41" ca="1">INDEX(Datablad!$N$70:$U$83,AF37+2,M41)</f>
        <v>102.4</v>
      </c>
      <c r="AG41" s="4" cm="1">
        <f t="array" aca="1" ref="AG41" ca="1">INDEX(Datablad!$N$70:$U$83,AG37+2,M41)</f>
        <v>54.8</v>
      </c>
      <c r="AH41" s="4" cm="1">
        <f t="array" aca="1" ref="AH41" ca="1">INDEX(Datablad!$N$70:$U$83,AH37+2,M41)</f>
        <v>38.299999999999997</v>
      </c>
      <c r="AI41" s="10"/>
      <c r="AJ41" s="4" cm="1">
        <f t="array" aca="1" ref="AJ41" ca="1">INDEX(Datablad!$W$70:$AD$83,AJ37+2,M41)</f>
        <v>57.9</v>
      </c>
      <c r="AK41" s="4" cm="1">
        <f t="array" aca="1" ref="AK41" ca="1">INDEX(Datablad!$W$70:$AD$83,AK37+2,M41)</f>
        <v>74.099999999999994</v>
      </c>
      <c r="AL41" s="4" cm="1">
        <f t="array" aca="1" ref="AL41" ca="1">INDEX(Datablad!$W$70:$AD$83,AL37+2,M41)</f>
        <v>126.6</v>
      </c>
      <c r="AM41" s="4" cm="1">
        <f t="array" aca="1" ref="AM41" ca="1">INDEX(Datablad!$W$70:$AD$83,AM37+2,M41)</f>
        <v>189.7</v>
      </c>
      <c r="AN41" s="4" cm="1">
        <f t="array" aca="1" ref="AN41" ca="1">INDEX(Datablad!$W$70:$AD$83,AN37+2,M41)</f>
        <v>202.7</v>
      </c>
      <c r="AO41" s="4" cm="1">
        <f t="array" aca="1" ref="AO41" ca="1">INDEX(Datablad!$W$70:$AD$83,AO37+2,M41)</f>
        <v>197.3</v>
      </c>
      <c r="AP41" s="4" cm="1">
        <f t="array" aca="1" ref="AP41" ca="1">INDEX(Datablad!$W$70:$AD$83,AP37+2,M41)</f>
        <v>185</v>
      </c>
      <c r="AQ41" s="4" cm="1">
        <f t="array" aca="1" ref="AQ41" ca="1">INDEX(Datablad!$W$70:$AD$83,AQ37+2,M41)</f>
        <v>193.5</v>
      </c>
      <c r="AR41" s="4" cm="1">
        <f t="array" aca="1" ref="AR41" ca="1">INDEX(Datablad!$W$70:$AD$83,AR37+2,M41)</f>
        <v>157.6</v>
      </c>
      <c r="AS41" s="4" cm="1">
        <f t="array" aca="1" ref="AS41" ca="1">INDEX(Datablad!$W$70:$AD$83,AS37+2,M41)</f>
        <v>109.4</v>
      </c>
      <c r="AT41" s="4" cm="1">
        <f t="array" aca="1" ref="AT41" ca="1">INDEX(Datablad!$W$70:$AD$83,AT37+2,M41)</f>
        <v>61</v>
      </c>
      <c r="AU41" s="4" cm="1">
        <f t="array" aca="1" ref="AU41" ca="1">INDEX(Datablad!$W$70:$AD$83,AU37+2,M41)</f>
        <v>44.1</v>
      </c>
      <c r="AV41">
        <v>2</v>
      </c>
      <c r="AW41" s="4" t="str">
        <f t="shared" ca="1" si="16"/>
        <v>n.v.t.</v>
      </c>
      <c r="AX41" s="4" t="str">
        <f t="shared" ca="1" si="17"/>
        <v>n.v.t.</v>
      </c>
      <c r="AY41" s="4" t="str">
        <f t="shared" ca="1" si="18"/>
        <v>n.v.t.</v>
      </c>
      <c r="AZ41" s="4" t="str">
        <f t="shared" ca="1" si="19"/>
        <v>n.v.t.</v>
      </c>
      <c r="BA41" s="4" t="str">
        <f t="shared" ca="1" si="20"/>
        <v>n.v.t.</v>
      </c>
      <c r="BB41" s="4" t="str">
        <f t="shared" ca="1" si="21"/>
        <v>n.v.t.</v>
      </c>
      <c r="BC41" s="4" t="str">
        <f t="shared" ca="1" si="22"/>
        <v>n.v.t.</v>
      </c>
      <c r="BD41" s="4" t="str">
        <f t="shared" ca="1" si="23"/>
        <v>n.v.t.</v>
      </c>
      <c r="BE41" s="4" t="str">
        <f t="shared" ca="1" si="24"/>
        <v>n.v.t.</v>
      </c>
      <c r="BF41" s="4" t="str">
        <f t="shared" ca="1" si="25"/>
        <v>n.v.t.</v>
      </c>
      <c r="BG41" s="4" t="str">
        <f t="shared" ca="1" si="26"/>
        <v>n.v.t.</v>
      </c>
      <c r="BH41" s="4" t="str">
        <f t="shared" ca="1" si="27"/>
        <v>n.v.t.</v>
      </c>
      <c r="BL41" t="s">
        <v>65</v>
      </c>
    </row>
    <row r="42" spans="2:64" x14ac:dyDescent="0.3">
      <c r="M42" s="58" t="str">
        <f ca="1">VLOOKUP(L40,K44:M52,2,FALSE)</f>
        <v>Z</v>
      </c>
      <c r="P42">
        <v>45</v>
      </c>
      <c r="Q42">
        <v>3</v>
      </c>
      <c r="R42" t="str">
        <f ca="1">IF(N40=P42,"ja","nee")</f>
        <v>nee</v>
      </c>
      <c r="S42" t="str">
        <f ca="1">IF(AND(N40&gt;P42,N40&lt;P43),Q42,"n.v.t.")</f>
        <v>n.v.t.</v>
      </c>
      <c r="T42" t="str">
        <f t="shared" ca="1" si="15"/>
        <v>n.v.t.</v>
      </c>
      <c r="U42" t="str">
        <f ca="1">IF(S42="n.v.t.","n.v.t.",(P43-N40)/(P43-P42))</f>
        <v>n.v.t.</v>
      </c>
      <c r="V42" t="str">
        <f ca="1">IF(T42="n.v.t.","n.v.t.",(N40-P42)/(P43-P42))</f>
        <v>n.v.t.</v>
      </c>
      <c r="W42" s="4" cm="1">
        <f t="array" aca="1" ref="W42" ca="1">INDEX(Datablad!$W$70:$AD$83,W37+2,M41)</f>
        <v>57.9</v>
      </c>
      <c r="X42" s="4" cm="1">
        <f t="array" aca="1" ref="X42" ca="1">INDEX(Datablad!$W$70:$AD$83,X37+2,M41)</f>
        <v>74.099999999999994</v>
      </c>
      <c r="Y42" s="4" cm="1">
        <f t="array" aca="1" ref="Y42" ca="1">INDEX(Datablad!$W$70:$AD$83,Y37+2,M41)</f>
        <v>126.6</v>
      </c>
      <c r="Z42" s="4" cm="1">
        <f t="array" aca="1" ref="Z42" ca="1">INDEX(Datablad!$W$70:$AD$83,Z37+2,M41)</f>
        <v>189.7</v>
      </c>
      <c r="AA42" s="4" cm="1">
        <f t="array" aca="1" ref="AA42" ca="1">INDEX(Datablad!$W$70:$AD$83,AA37+2,M41)</f>
        <v>202.7</v>
      </c>
      <c r="AB42" s="4" cm="1">
        <f t="array" aca="1" ref="AB42" ca="1">INDEX(Datablad!$W$70:$AD$83,AB37+2,M41)</f>
        <v>197.3</v>
      </c>
      <c r="AC42" s="4" cm="1">
        <f t="array" aca="1" ref="AC42" ca="1">INDEX(Datablad!$W$70:$AD$83,AC37+2,M41)</f>
        <v>185</v>
      </c>
      <c r="AD42" s="4" cm="1">
        <f t="array" aca="1" ref="AD42" ca="1">INDEX(Datablad!$W$70:$AD$83,AD37+2,M41)</f>
        <v>193.5</v>
      </c>
      <c r="AE42" s="4" cm="1">
        <f t="array" aca="1" ref="AE42" ca="1">INDEX(Datablad!$W$70:$AD$83,AE37+2,M41)</f>
        <v>157.6</v>
      </c>
      <c r="AF42" s="4" cm="1">
        <f t="array" aca="1" ref="AF42" ca="1">INDEX(Datablad!$W$70:$AD$83,AF37+2,M41)</f>
        <v>109.4</v>
      </c>
      <c r="AG42" s="4" cm="1">
        <f t="array" aca="1" ref="AG42" ca="1">INDEX(Datablad!$W$70:$AD$83,AG37+2,M41)</f>
        <v>61</v>
      </c>
      <c r="AH42" s="4" cm="1">
        <f t="array" aca="1" ref="AH42" ca="1">INDEX(Datablad!$W$70:$AD$83,AH37+2,M41)</f>
        <v>44.1</v>
      </c>
      <c r="AI42" s="10"/>
      <c r="AJ42" s="4" cm="1">
        <f t="array" aca="1" ref="AJ42" ca="1">INDEX(Datablad!$AF$70:$AM$83,AJ37+2,M41)</f>
        <v>62.2</v>
      </c>
      <c r="AK42" s="4" cm="1">
        <f t="array" aca="1" ref="AK42" ca="1">INDEX(Datablad!$AF$70:$AM$83,AK37+2,M41)</f>
        <v>75.400000000000006</v>
      </c>
      <c r="AL42" s="4" cm="1">
        <f t="array" aca="1" ref="AL42" ca="1">INDEX(Datablad!$AF$70:$AM$83,AL37+2,M41)</f>
        <v>124.3</v>
      </c>
      <c r="AM42" s="4" cm="1">
        <f t="array" aca="1" ref="AM42" ca="1">INDEX(Datablad!$AF$70:$AM$83,AM37+2,M41)</f>
        <v>180.2</v>
      </c>
      <c r="AN42" s="4" cm="1">
        <f t="array" aca="1" ref="AN42" ca="1">INDEX(Datablad!$AF$70:$AM$83,AN37+2,M41)</f>
        <v>184.5</v>
      </c>
      <c r="AO42" s="4" cm="1">
        <f t="array" aca="1" ref="AO42" ca="1">INDEX(Datablad!$AF$70:$AM$83,AO37+2,M41)</f>
        <v>175.1</v>
      </c>
      <c r="AP42" s="4" cm="1">
        <f t="array" aca="1" ref="AP42" ca="1">INDEX(Datablad!$AF$70:$AM$83,AP37+2,M41)</f>
        <v>165.9</v>
      </c>
      <c r="AQ42" s="4" cm="1">
        <f t="array" aca="1" ref="AQ42" ca="1">INDEX(Datablad!$AF$70:$AM$83,AQ37+2,M41)</f>
        <v>179.7</v>
      </c>
      <c r="AR42" s="4" cm="1">
        <f t="array" aca="1" ref="AR42" ca="1">INDEX(Datablad!$AF$70:$AM$83,AR37+2,M41)</f>
        <v>153.30000000000001</v>
      </c>
      <c r="AS42" s="4" cm="1">
        <f t="array" aca="1" ref="AS42" ca="1">INDEX(Datablad!$AF$70:$AM$83,AS37+2,M41)</f>
        <v>110.7</v>
      </c>
      <c r="AT42" s="4" cm="1">
        <f t="array" aca="1" ref="AT42" ca="1">INDEX(Datablad!$AF$70:$AM$83,AT37+2,M41)</f>
        <v>63.9</v>
      </c>
      <c r="AU42" s="4" cm="1">
        <f t="array" aca="1" ref="AU42" ca="1">INDEX(Datablad!$AF$70:$AM$83,AU37+2,M41)</f>
        <v>47.4</v>
      </c>
      <c r="AV42">
        <v>3</v>
      </c>
      <c r="AW42" s="4" t="str">
        <f t="shared" ca="1" si="16"/>
        <v>n.v.t.</v>
      </c>
      <c r="AX42" s="4" t="str">
        <f t="shared" ca="1" si="17"/>
        <v>n.v.t.</v>
      </c>
      <c r="AY42" s="4" t="str">
        <f t="shared" ca="1" si="18"/>
        <v>n.v.t.</v>
      </c>
      <c r="AZ42" s="4" t="str">
        <f t="shared" ca="1" si="19"/>
        <v>n.v.t.</v>
      </c>
      <c r="BA42" s="4" t="str">
        <f t="shared" ca="1" si="20"/>
        <v>n.v.t.</v>
      </c>
      <c r="BB42" s="4" t="str">
        <f t="shared" ca="1" si="21"/>
        <v>n.v.t.</v>
      </c>
      <c r="BC42" s="4" t="str">
        <f t="shared" ca="1" si="22"/>
        <v>n.v.t.</v>
      </c>
      <c r="BD42" s="4" t="str">
        <f t="shared" ca="1" si="23"/>
        <v>n.v.t.</v>
      </c>
      <c r="BE42" s="4" t="str">
        <f t="shared" ca="1" si="24"/>
        <v>n.v.t.</v>
      </c>
      <c r="BF42" s="4" t="str">
        <f t="shared" ca="1" si="25"/>
        <v>n.v.t.</v>
      </c>
      <c r="BG42" s="4" t="str">
        <f t="shared" ca="1" si="26"/>
        <v>n.v.t.</v>
      </c>
      <c r="BH42" s="4" t="str">
        <f t="shared" ca="1" si="27"/>
        <v>n.v.t.</v>
      </c>
    </row>
    <row r="43" spans="2:64" x14ac:dyDescent="0.3">
      <c r="K43" t="s">
        <v>366</v>
      </c>
      <c r="L43" t="s">
        <v>367</v>
      </c>
      <c r="M43" t="s">
        <v>370</v>
      </c>
      <c r="P43">
        <v>60</v>
      </c>
      <c r="Q43">
        <v>4</v>
      </c>
      <c r="R43" t="str">
        <f ca="1">IF(N40=P43,"ja","nee")</f>
        <v>nee</v>
      </c>
      <c r="S43" t="str">
        <f ca="1">IF(AND(N40&gt;P43,N40&lt;P44),Q43,"n.v.t.")</f>
        <v>n.v.t.</v>
      </c>
      <c r="T43" t="str">
        <f t="shared" ca="1" si="15"/>
        <v>n.v.t.</v>
      </c>
      <c r="U43" t="str">
        <f ca="1">IF(S43="n.v.t.","n.v.t.",(P44-N40)/(P44-P43))</f>
        <v>n.v.t.</v>
      </c>
      <c r="V43" t="str">
        <f ca="1">IF(T43="n.v.t.","n.v.t.",(N40-P43)/(P44-P43))</f>
        <v>n.v.t.</v>
      </c>
      <c r="W43" s="4" cm="1">
        <f t="array" aca="1" ref="W43" ca="1">INDEX(Datablad!$AF$70:$AM$83,W37+2,M41)</f>
        <v>62.2</v>
      </c>
      <c r="X43" s="4" cm="1">
        <f t="array" aca="1" ref="X43" ca="1">INDEX(Datablad!$AF$70:$AM$83,X37+2,M41)</f>
        <v>75.400000000000006</v>
      </c>
      <c r="Y43" s="4" cm="1">
        <f t="array" aca="1" ref="Y43" ca="1">INDEX(Datablad!$AF$70:$AM$83,Y37+2,M41)</f>
        <v>124.3</v>
      </c>
      <c r="Z43" s="4" cm="1">
        <f t="array" aca="1" ref="Z43" ca="1">INDEX(Datablad!$AF$70:$AM$83,Z37+2,M41)</f>
        <v>180.2</v>
      </c>
      <c r="AA43" s="4" cm="1">
        <f t="array" aca="1" ref="AA43" ca="1">INDEX(Datablad!$AF$70:$AM$83,AA37+2,M41)</f>
        <v>184.5</v>
      </c>
      <c r="AB43" s="4" cm="1">
        <f t="array" aca="1" ref="AB43" ca="1">INDEX(Datablad!$AF$70:$AM$83,AB37+2,M41)</f>
        <v>175.1</v>
      </c>
      <c r="AC43" s="4" cm="1">
        <f t="array" aca="1" ref="AC43" ca="1">INDEX(Datablad!$AF$70:$AM$83,AC37+2,M41)</f>
        <v>165.9</v>
      </c>
      <c r="AD43" s="4" cm="1">
        <f t="array" aca="1" ref="AD43" ca="1">INDEX(Datablad!$AF$70:$AM$83,AD37+2,M41)</f>
        <v>179.7</v>
      </c>
      <c r="AE43" s="4" cm="1">
        <f t="array" aca="1" ref="AE43" ca="1">INDEX(Datablad!$AF$70:$AM$83,AE37+2,M41)</f>
        <v>153.30000000000001</v>
      </c>
      <c r="AF43" s="4" cm="1">
        <f t="array" aca="1" ref="AF43" ca="1">INDEX(Datablad!$AF$70:$AM$83,AF37+2,M41)</f>
        <v>110.7</v>
      </c>
      <c r="AG43" s="4" cm="1">
        <f t="array" aca="1" ref="AG43" ca="1">INDEX(Datablad!$AF$70:$AM$83,AG37+2,M41)</f>
        <v>63.9</v>
      </c>
      <c r="AH43" s="4" cm="1">
        <f t="array" aca="1" ref="AH43" ca="1">INDEX(Datablad!$AF$70:$AM$83,AH37+2,M41)</f>
        <v>47.4</v>
      </c>
      <c r="AI43" s="10"/>
      <c r="AJ43" s="4" cm="1">
        <f t="array" aca="1" ref="AJ43" ca="1">INDEX(Datablad!$AO$70:$AV$83,AJ37+2,M41)</f>
        <v>60.1</v>
      </c>
      <c r="AK43" s="4" cm="1">
        <f t="array" aca="1" ref="AK43" ca="1">INDEX(Datablad!$AO$70:$AV$83,AK37+2,M41)</f>
        <v>66.7</v>
      </c>
      <c r="AL43" s="4" cm="1">
        <f t="array" aca="1" ref="AL43" ca="1">INDEX(Datablad!$AO$70:$AV$83,AL37+2,M41)</f>
        <v>101.8</v>
      </c>
      <c r="AM43" s="4" cm="1">
        <f t="array" aca="1" ref="AM43" ca="1">INDEX(Datablad!$AO$70:$AV$83,AM37+2,M41)</f>
        <v>135.1</v>
      </c>
      <c r="AN43" s="4" cm="1">
        <f t="array" aca="1" ref="AN43" ca="1">INDEX(Datablad!$AO$70:$AV$83,AN37+2,M41)</f>
        <v>124.9</v>
      </c>
      <c r="AO43" s="4" cm="1">
        <f t="array" aca="1" ref="AO43" ca="1">INDEX(Datablad!$AO$70:$AV$83,AO37+2,M41)</f>
        <v>112.7</v>
      </c>
      <c r="AP43" s="4" cm="1">
        <f t="array" aca="1" ref="AP43" ca="1">INDEX(Datablad!$AO$70:$AV$83,AP37+2,M41)</f>
        <v>109.7</v>
      </c>
      <c r="AQ43" s="4" cm="1">
        <f t="array" aca="1" ref="AQ43" ca="1">INDEX(Datablad!$AO$70:$AV$83,AQ37+2,M41)</f>
        <v>128.5</v>
      </c>
      <c r="AR43" s="4" cm="1">
        <f t="array" aca="1" ref="AR43" ca="1">INDEX(Datablad!$AO$70:$AV$83,AR37+2,M41)</f>
        <v>122.3</v>
      </c>
      <c r="AS43" s="4" cm="1">
        <f t="array" aca="1" ref="AS43" ca="1">INDEX(Datablad!$AO$70:$AV$83,AS37+2,M41)</f>
        <v>96.2</v>
      </c>
      <c r="AT43" s="4" cm="1">
        <f t="array" aca="1" ref="AT43" ca="1">INDEX(Datablad!$AO$70:$AV$83,AT37+2,M41)</f>
        <v>59.5</v>
      </c>
      <c r="AU43" s="4" cm="1">
        <f t="array" aca="1" ref="AU43" ca="1">INDEX(Datablad!$AO$70:$AV$83,AU37+2,M41)</f>
        <v>46.2</v>
      </c>
      <c r="AV43">
        <v>4</v>
      </c>
      <c r="AW43" s="4" t="str">
        <f t="shared" ca="1" si="16"/>
        <v>n.v.t.</v>
      </c>
      <c r="AX43" s="4" t="str">
        <f t="shared" ca="1" si="17"/>
        <v>n.v.t.</v>
      </c>
      <c r="AY43" s="4" t="str">
        <f t="shared" ca="1" si="18"/>
        <v>n.v.t.</v>
      </c>
      <c r="AZ43" s="4" t="str">
        <f t="shared" ca="1" si="19"/>
        <v>n.v.t.</v>
      </c>
      <c r="BA43" s="4" t="str">
        <f t="shared" ca="1" si="20"/>
        <v>n.v.t.</v>
      </c>
      <c r="BB43" s="4" t="str">
        <f t="shared" ca="1" si="21"/>
        <v>n.v.t.</v>
      </c>
      <c r="BC43" s="4" t="str">
        <f t="shared" ca="1" si="22"/>
        <v>n.v.t.</v>
      </c>
      <c r="BD43" s="4" t="str">
        <f t="shared" ca="1" si="23"/>
        <v>n.v.t.</v>
      </c>
      <c r="BE43" s="4" t="str">
        <f t="shared" ca="1" si="24"/>
        <v>n.v.t.</v>
      </c>
      <c r="BF43" s="4" t="str">
        <f t="shared" ca="1" si="25"/>
        <v>n.v.t.</v>
      </c>
      <c r="BG43" s="4" t="str">
        <f t="shared" ca="1" si="26"/>
        <v>n.v.t.</v>
      </c>
      <c r="BH43" s="4" t="str">
        <f t="shared" ca="1" si="27"/>
        <v>n.v.t.</v>
      </c>
      <c r="BL43" t="s">
        <v>64</v>
      </c>
    </row>
    <row r="44" spans="2:64" x14ac:dyDescent="0.3">
      <c r="K44">
        <v>1</v>
      </c>
      <c r="L44" s="11" t="s">
        <v>368</v>
      </c>
      <c r="M44">
        <v>1</v>
      </c>
      <c r="P44">
        <v>90</v>
      </c>
      <c r="Q44">
        <v>5</v>
      </c>
      <c r="R44" t="str">
        <f ca="1">IF(N40=P44,"ja","nee")</f>
        <v>nee</v>
      </c>
      <c r="S44" t="str">
        <f ca="1">IF(AND(N40&gt;P44,N40&lt;P45),Q44,"n.v.t.")</f>
        <v>n.v.t.</v>
      </c>
      <c r="T44" t="str">
        <f t="shared" ca="1" si="15"/>
        <v>n.v.t.</v>
      </c>
      <c r="U44" t="str">
        <f ca="1">IF(S44="n.v.t.","n.v.t.",(P45-N40)/(P45-P44))</f>
        <v>n.v.t.</v>
      </c>
      <c r="V44" t="str">
        <f ca="1">IF(T44="n.v.t.","n.v.t.",(N40-P44)/(P45-P44))</f>
        <v>n.v.t.</v>
      </c>
      <c r="W44" s="4" cm="1">
        <f t="array" aca="1" ref="W44" ca="1">INDEX(Datablad!$AO$70:$AV$83,W37+2,M41)</f>
        <v>60.1</v>
      </c>
      <c r="X44" s="4" cm="1">
        <f t="array" aca="1" ref="X44" ca="1">INDEX(Datablad!$AO$70:$AV$83,X37+2,M41)</f>
        <v>66.7</v>
      </c>
      <c r="Y44" s="4" cm="1">
        <f t="array" aca="1" ref="Y44" ca="1">INDEX(Datablad!$AO$70:$AV$83,Y37+2,M41)</f>
        <v>101.8</v>
      </c>
      <c r="Z44" s="4" cm="1">
        <f t="array" aca="1" ref="Z44" ca="1">INDEX(Datablad!$AO$70:$AV$83,Z37+2,M41)</f>
        <v>135.1</v>
      </c>
      <c r="AA44" s="4" cm="1">
        <f t="array" aca="1" ref="AA44" ca="1">INDEX(Datablad!$AO$70:$AV$83,AA37+2,M41)</f>
        <v>124.9</v>
      </c>
      <c r="AB44" s="4" cm="1">
        <f t="array" aca="1" ref="AB44" ca="1">INDEX(Datablad!$AO$70:$AV$83,AB37+2,M41)</f>
        <v>112.7</v>
      </c>
      <c r="AC44" s="4" cm="1">
        <f t="array" aca="1" ref="AC44" ca="1">INDEX(Datablad!$AO$70:$AV$83,AC37+2,M41)</f>
        <v>109.7</v>
      </c>
      <c r="AD44" s="4" cm="1">
        <f t="array" aca="1" ref="AD44" ca="1">INDEX(Datablad!$AO$70:$AV$83,AD37+2,M41)</f>
        <v>128.5</v>
      </c>
      <c r="AE44" s="4" cm="1">
        <f t="array" aca="1" ref="AE44" ca="1">INDEX(Datablad!$AO$70:$AV$83,AE37+2,M41)</f>
        <v>122.3</v>
      </c>
      <c r="AF44" s="4" cm="1">
        <f t="array" aca="1" ref="AF44" ca="1">INDEX(Datablad!$AO$70:$AV$83,AF37+2,M41)</f>
        <v>96.2</v>
      </c>
      <c r="AG44" s="4" cm="1">
        <f t="array" aca="1" ref="AG44" ca="1">INDEX(Datablad!$AO$70:$AV$83,AG37+2,M41)</f>
        <v>59.5</v>
      </c>
      <c r="AH44" s="4" cm="1">
        <f t="array" aca="1" ref="AH44" ca="1">INDEX(Datablad!$AO$70:$AV$83,AH37+2,M41)</f>
        <v>46.2</v>
      </c>
      <c r="AI44" s="10"/>
      <c r="AJ44" s="4" cm="1">
        <f t="array" aca="1" ref="AJ44" ca="1">INDEX(Datablad!$AX$70:$BE$83,AJ37+2,M41)</f>
        <v>33.4</v>
      </c>
      <c r="AK44" s="4" cm="1">
        <f t="array" aca="1" ref="AK44" ca="1">INDEX(Datablad!$AX$70:$BE$83,AK37+2,M41)</f>
        <v>31.5</v>
      </c>
      <c r="AL44" s="4" cm="1">
        <f t="array" aca="1" ref="AL44" ca="1">INDEX(Datablad!$AX$70:$BE$83,AL37+2,M41)</f>
        <v>37.299999999999997</v>
      </c>
      <c r="AM44" s="4" cm="1">
        <f t="array" aca="1" ref="AM44" ca="1">INDEX(Datablad!$AX$70:$BE$83,AM37+2,M41)</f>
        <v>39</v>
      </c>
      <c r="AN44" s="4" cm="1">
        <f t="array" aca="1" ref="AN44" ca="1">INDEX(Datablad!$AX$70:$BE$83,AN37+2,M41)</f>
        <v>45.5</v>
      </c>
      <c r="AO44" s="4" cm="1">
        <f t="array" aca="1" ref="AO44" ca="1">INDEX(Datablad!$AX$70:$BE$83,AO37+2,M41)</f>
        <v>48.3</v>
      </c>
      <c r="AP44" s="4" cm="1">
        <f t="array" aca="1" ref="AP44" ca="1">INDEX(Datablad!$AX$70:$BE$83,AP37+2,M41)</f>
        <v>44.9</v>
      </c>
      <c r="AQ44" s="4" cm="1">
        <f t="array" aca="1" ref="AQ44" ca="1">INDEX(Datablad!$AX$70:$BE$83,AQ37+2,M41)</f>
        <v>41.6</v>
      </c>
      <c r="AR44" s="4" cm="1">
        <f t="array" aca="1" ref="AR44" ca="1">INDEX(Datablad!$AX$70:$BE$83,AR37+2,M41)</f>
        <v>40.200000000000003</v>
      </c>
      <c r="AS44" s="4" cm="1">
        <f t="array" aca="1" ref="AS44" ca="1">INDEX(Datablad!$AX$70:$BE$83,AS37+2,M41)</f>
        <v>41.6</v>
      </c>
      <c r="AT44" s="4" cm="1">
        <f t="array" aca="1" ref="AT44" ca="1">INDEX(Datablad!$AX$70:$BE$83,AT37+2,M41)</f>
        <v>30.9</v>
      </c>
      <c r="AU44" s="4" cm="1">
        <f t="array" aca="1" ref="AU44" ca="1">INDEX(Datablad!$AX$70:$BE$83,AU37+2,M41)</f>
        <v>26.3</v>
      </c>
      <c r="AV44">
        <v>5</v>
      </c>
      <c r="AW44" s="4" t="str">
        <f t="shared" ca="1" si="16"/>
        <v>n.v.t.</v>
      </c>
      <c r="AX44" s="4" t="str">
        <f t="shared" ca="1" si="17"/>
        <v>n.v.t.</v>
      </c>
      <c r="AY44" s="4" t="str">
        <f t="shared" ca="1" si="18"/>
        <v>n.v.t.</v>
      </c>
      <c r="AZ44" s="4" t="str">
        <f t="shared" ca="1" si="19"/>
        <v>n.v.t.</v>
      </c>
      <c r="BA44" s="4" t="str">
        <f t="shared" ca="1" si="20"/>
        <v>n.v.t.</v>
      </c>
      <c r="BB44" s="4" t="str">
        <f t="shared" ca="1" si="21"/>
        <v>n.v.t.</v>
      </c>
      <c r="BC44" s="4" t="str">
        <f t="shared" ca="1" si="22"/>
        <v>n.v.t.</v>
      </c>
      <c r="BD44" s="4" t="str">
        <f t="shared" ca="1" si="23"/>
        <v>n.v.t.</v>
      </c>
      <c r="BE44" s="4" t="str">
        <f t="shared" ca="1" si="24"/>
        <v>n.v.t.</v>
      </c>
      <c r="BF44" s="4" t="str">
        <f t="shared" ca="1" si="25"/>
        <v>n.v.t.</v>
      </c>
      <c r="BG44" s="4" t="str">
        <f t="shared" ca="1" si="26"/>
        <v>n.v.t.</v>
      </c>
      <c r="BH44" s="4" t="str">
        <f t="shared" ca="1" si="27"/>
        <v>n.v.t.</v>
      </c>
    </row>
    <row r="45" spans="2:64" x14ac:dyDescent="0.3">
      <c r="K45">
        <v>2</v>
      </c>
      <c r="L45" s="11" t="s">
        <v>183</v>
      </c>
      <c r="M45">
        <v>5</v>
      </c>
      <c r="P45">
        <v>135</v>
      </c>
      <c r="Q45">
        <v>6</v>
      </c>
      <c r="R45" t="str">
        <f ca="1">IF(N40=P45,"ja","nee")</f>
        <v>nee</v>
      </c>
      <c r="S45" t="str">
        <f ca="1">IF(AND(N40&gt;P45,N40&lt;P46),Q45,"n.v.t.")</f>
        <v>n.v.t.</v>
      </c>
      <c r="T45" t="str">
        <f t="shared" ca="1" si="15"/>
        <v>n.v.t.</v>
      </c>
      <c r="U45" t="str">
        <f ca="1">IF(S45="n.v.t.","n.v.t.",(P46-N40)/(P46-P45))</f>
        <v>n.v.t.</v>
      </c>
      <c r="V45" t="str">
        <f ca="1">IF(T45="n.v.t.","n.v.t.",(N40-P45)/(P46-P45))</f>
        <v>n.v.t.</v>
      </c>
      <c r="W45" s="4" cm="1">
        <f t="array" aca="1" ref="W45" ca="1">INDEX(Datablad!$AX$70:$BE$83,W37+2,M41)</f>
        <v>33.4</v>
      </c>
      <c r="X45" s="4" cm="1">
        <f t="array" aca="1" ref="X45" ca="1">INDEX(Datablad!$AX$70:$BE$83,X37+2,M41)</f>
        <v>31.5</v>
      </c>
      <c r="Y45" s="4" cm="1">
        <f t="array" aca="1" ref="Y45" ca="1">INDEX(Datablad!$AX$70:$BE$83,Y37+2,M41)</f>
        <v>37.299999999999997</v>
      </c>
      <c r="Z45" s="4" cm="1">
        <f t="array" aca="1" ref="Z45" ca="1">INDEX(Datablad!$AX$70:$BE$83,Z37+2,M41)</f>
        <v>39</v>
      </c>
      <c r="AA45" s="4" cm="1">
        <f t="array" aca="1" ref="AA45" ca="1">INDEX(Datablad!$AX$70:$BE$83,AA37+2,M41)</f>
        <v>45.5</v>
      </c>
      <c r="AB45" s="4" cm="1">
        <f t="array" aca="1" ref="AB45" ca="1">INDEX(Datablad!$AX$70:$BE$83,AB37+2,M41)</f>
        <v>48.3</v>
      </c>
      <c r="AC45" s="4" cm="1">
        <f t="array" aca="1" ref="AC45" ca="1">INDEX(Datablad!$AX$70:$BE$83,AC37+2,M41)</f>
        <v>44.9</v>
      </c>
      <c r="AD45" s="4" cm="1">
        <f t="array" aca="1" ref="AD45" ca="1">INDEX(Datablad!$AX$70:$BE$83,AD37+2,M41)</f>
        <v>41.6</v>
      </c>
      <c r="AE45" s="4" cm="1">
        <f t="array" aca="1" ref="AE45" ca="1">INDEX(Datablad!$AX$70:$BE$83,AE37+2,M41)</f>
        <v>40.200000000000003</v>
      </c>
      <c r="AF45" s="4" cm="1">
        <f t="array" aca="1" ref="AF45" ca="1">INDEX(Datablad!$AX$70:$BE$83,AF37+2,M41)</f>
        <v>41.6</v>
      </c>
      <c r="AG45" s="4" cm="1">
        <f t="array" aca="1" ref="AG45" ca="1">INDEX(Datablad!$AX$70:$BE$83,AG37+2,M41)</f>
        <v>30.9</v>
      </c>
      <c r="AH45" s="4" cm="1">
        <f t="array" aca="1" ref="AH45" ca="1">INDEX(Datablad!$AX$70:$BE$83,AH37+2,M41)</f>
        <v>26.3</v>
      </c>
      <c r="AI45" s="10"/>
      <c r="AJ45" s="4" cm="1">
        <f t="array" aca="1" ref="AJ45" ca="1">INDEX(Datablad!$BG$70:$BN$83,AJ37+2,M41)</f>
        <v>5.6</v>
      </c>
      <c r="AK45" s="4" cm="1">
        <f t="array" aca="1" ref="AK45" ca="1">INDEX(Datablad!$BG$70:$BN$83,AK37+2,M41)</f>
        <v>9.8000000000000007</v>
      </c>
      <c r="AL45" s="4" cm="1">
        <f t="array" aca="1" ref="AL45" ca="1">INDEX(Datablad!$BG$70:$BN$83,AL37+2,M41)</f>
        <v>19.3</v>
      </c>
      <c r="AM45" s="4" cm="1">
        <f t="array" aca="1" ref="AM45" ca="1">INDEX(Datablad!$BG$70:$BN$83,AM37+2,M41)</f>
        <v>32.1</v>
      </c>
      <c r="AN45" s="4" cm="1">
        <f t="array" aca="1" ref="AN45" ca="1">INDEX(Datablad!$BG$70:$BN$83,AN37+2,M41)</f>
        <v>39.299999999999997</v>
      </c>
      <c r="AO45" s="4" cm="1">
        <f t="array" aca="1" ref="AO45" ca="1">INDEX(Datablad!$BG$70:$BN$83,AO37+2,M41)</f>
        <v>41.8</v>
      </c>
      <c r="AP45" s="4" cm="1">
        <f t="array" aca="1" ref="AP45" ca="1">INDEX(Datablad!$BG$70:$BN$83,AP37+2,M41)</f>
        <v>38.200000000000003</v>
      </c>
      <c r="AQ45" s="4" cm="1">
        <f t="array" aca="1" ref="AQ45" ca="1">INDEX(Datablad!$BG$70:$BN$83,AQ37+2,M41)</f>
        <v>35.299999999999997</v>
      </c>
      <c r="AR45" s="4" cm="1">
        <f t="array" aca="1" ref="AR45" ca="1">INDEX(Datablad!$BG$70:$BN$83,AR37+2,M41)</f>
        <v>24.7</v>
      </c>
      <c r="AS45" s="4" cm="1">
        <f t="array" aca="1" ref="AS45" ca="1">INDEX(Datablad!$BG$70:$BN$83,AS37+2,M41)</f>
        <v>14.6</v>
      </c>
      <c r="AT45" s="4" cm="1">
        <f t="array" aca="1" ref="AT45" ca="1">INDEX(Datablad!$BG$70:$BN$83,AT37+2,M41)</f>
        <v>6.9</v>
      </c>
      <c r="AU45" s="4" cm="1">
        <f t="array" aca="1" ref="AU45" ca="1">INDEX(Datablad!$BG$70:$BN$83,AU37+2,M41)</f>
        <v>4.2</v>
      </c>
      <c r="AV45">
        <v>6</v>
      </c>
      <c r="AW45" s="4" t="str">
        <f t="shared" ca="1" si="16"/>
        <v>n.v.t.</v>
      </c>
      <c r="AX45" s="4" t="str">
        <f t="shared" ca="1" si="17"/>
        <v>n.v.t.</v>
      </c>
      <c r="AY45" s="4" t="str">
        <f t="shared" ca="1" si="18"/>
        <v>n.v.t.</v>
      </c>
      <c r="AZ45" s="4" t="str">
        <f t="shared" ca="1" si="19"/>
        <v>n.v.t.</v>
      </c>
      <c r="BA45" s="4" t="str">
        <f t="shared" ca="1" si="20"/>
        <v>n.v.t.</v>
      </c>
      <c r="BB45" s="4" t="str">
        <f t="shared" ca="1" si="21"/>
        <v>n.v.t.</v>
      </c>
      <c r="BC45" s="4" t="str">
        <f t="shared" ca="1" si="22"/>
        <v>n.v.t.</v>
      </c>
      <c r="BD45" s="4" t="str">
        <f t="shared" ca="1" si="23"/>
        <v>n.v.t.</v>
      </c>
      <c r="BE45" s="4" t="str">
        <f t="shared" ca="1" si="24"/>
        <v>n.v.t.</v>
      </c>
      <c r="BF45" s="4" t="str">
        <f t="shared" ca="1" si="25"/>
        <v>n.v.t.</v>
      </c>
      <c r="BG45" s="4" t="str">
        <f t="shared" ca="1" si="26"/>
        <v>n.v.t.</v>
      </c>
      <c r="BH45" s="4" t="str">
        <f t="shared" ca="1" si="27"/>
        <v>n.v.t.</v>
      </c>
    </row>
    <row r="46" spans="2:64" x14ac:dyDescent="0.3">
      <c r="K46">
        <v>3</v>
      </c>
      <c r="L46" s="11" t="s">
        <v>184</v>
      </c>
      <c r="M46">
        <v>6</v>
      </c>
      <c r="P46">
        <v>180</v>
      </c>
      <c r="Q46">
        <v>7</v>
      </c>
      <c r="R46" t="str">
        <f ca="1">IF(N40=P46,"ja","nee")</f>
        <v>nee</v>
      </c>
      <c r="S46" t="str">
        <f ca="1">IF(AND(N40&gt;P46,N40&lt;P47),Q46,"n.v.t.")</f>
        <v>n.v.t.</v>
      </c>
      <c r="T46" t="str">
        <f t="shared" ca="1" si="15"/>
        <v>n.v.t.</v>
      </c>
      <c r="U46" t="str">
        <f ca="1">IF(S46="n.v.t.","n.v.t.",(P47-N40)/(P47-P46))</f>
        <v>n.v.t.</v>
      </c>
      <c r="V46" t="str">
        <f ca="1">IF(T46="n.v.t.","n.v.t.",(N40-P46)/(P47-P46))</f>
        <v>n.v.t.</v>
      </c>
      <c r="W46" s="4" cm="1">
        <f t="array" aca="1" ref="W46" ca="1">INDEX(Datablad!$BG$70:$BN$83,W37+2,M41)</f>
        <v>5.6</v>
      </c>
      <c r="X46" s="4" cm="1">
        <f t="array" aca="1" ref="X46" ca="1">INDEX(Datablad!$BG$70:$BN$83,X37+2,M41)</f>
        <v>9.8000000000000007</v>
      </c>
      <c r="Y46" s="4" cm="1">
        <f t="array" aca="1" ref="Y46" ca="1">INDEX(Datablad!$BG$70:$BN$83,Y37+2,M41)</f>
        <v>19.3</v>
      </c>
      <c r="Z46" s="4" cm="1">
        <f t="array" aca="1" ref="Z46" ca="1">INDEX(Datablad!$BG$70:$BN$83,Z37+2,M41)</f>
        <v>32.1</v>
      </c>
      <c r="AA46" s="4" cm="1">
        <f t="array" aca="1" ref="AA46" ca="1">INDEX(Datablad!$BG$70:$BN$83,AA37+2,M41)</f>
        <v>39.299999999999997</v>
      </c>
      <c r="AB46" s="4" cm="1">
        <f t="array" aca="1" ref="AB46" ca="1">INDEX(Datablad!$BG$70:$BN$83,AB37+2,M41)</f>
        <v>41.8</v>
      </c>
      <c r="AC46" s="4" cm="1">
        <f t="array" aca="1" ref="AC46" ca="1">INDEX(Datablad!$BG$70:$BN$83,AC37+2,M41)</f>
        <v>38.200000000000003</v>
      </c>
      <c r="AD46" s="4" cm="1">
        <f t="array" aca="1" ref="AD46" ca="1">INDEX(Datablad!$BG$70:$BN$83,AD37+2,M41)</f>
        <v>35.299999999999997</v>
      </c>
      <c r="AE46" s="4" cm="1">
        <f t="array" aca="1" ref="AE46" ca="1">INDEX(Datablad!$BG$70:$BN$83,AE37+2,M41)</f>
        <v>24.7</v>
      </c>
      <c r="AF46" s="4" cm="1">
        <f t="array" aca="1" ref="AF46" ca="1">INDEX(Datablad!$BG$70:$BN$83,AF37+2,M41)</f>
        <v>14.6</v>
      </c>
      <c r="AG46" s="4" cm="1">
        <f t="array" aca="1" ref="AG46" ca="1">INDEX(Datablad!$BG$70:$BN$83,AG37+2,M41)</f>
        <v>6.9</v>
      </c>
      <c r="AH46" s="4" cm="1">
        <f t="array" aca="1" ref="AH46" ca="1">INDEX(Datablad!$BG$70:$BN$83,AH37+2,M41)</f>
        <v>4.2</v>
      </c>
      <c r="AI46" s="10"/>
      <c r="AV46">
        <v>7</v>
      </c>
      <c r="AW46" s="4" t="str">
        <f t="shared" ca="1" si="16"/>
        <v>n.v.t.</v>
      </c>
      <c r="AX46" s="4" t="str">
        <f t="shared" ca="1" si="17"/>
        <v>n.v.t.</v>
      </c>
      <c r="AY46" s="4" t="str">
        <f t="shared" ca="1" si="18"/>
        <v>n.v.t.</v>
      </c>
      <c r="AZ46" s="4" t="str">
        <f t="shared" ca="1" si="19"/>
        <v>n.v.t.</v>
      </c>
      <c r="BA46" s="4" t="str">
        <f t="shared" ca="1" si="20"/>
        <v>n.v.t.</v>
      </c>
      <c r="BB46" s="4" t="str">
        <f t="shared" ca="1" si="21"/>
        <v>n.v.t.</v>
      </c>
      <c r="BC46" s="4" t="str">
        <f t="shared" ca="1" si="22"/>
        <v>n.v.t.</v>
      </c>
      <c r="BD46" s="4" t="str">
        <f t="shared" ca="1" si="23"/>
        <v>n.v.t.</v>
      </c>
      <c r="BE46" s="4" t="str">
        <f t="shared" ca="1" si="24"/>
        <v>n.v.t.</v>
      </c>
      <c r="BF46" s="4" t="str">
        <f t="shared" ca="1" si="25"/>
        <v>n.v.t.</v>
      </c>
      <c r="BG46" s="4" t="str">
        <f t="shared" ca="1" si="26"/>
        <v>n.v.t.</v>
      </c>
      <c r="BH46" s="4" t="str">
        <f t="shared" ca="1" si="27"/>
        <v>n.v.t.</v>
      </c>
    </row>
    <row r="47" spans="2:64" x14ac:dyDescent="0.3">
      <c r="K47">
        <v>4</v>
      </c>
      <c r="L47" s="11" t="s">
        <v>185</v>
      </c>
      <c r="M47">
        <v>7</v>
      </c>
    </row>
    <row r="48" spans="2:64" x14ac:dyDescent="0.3">
      <c r="K48">
        <v>5</v>
      </c>
      <c r="L48" s="11" t="s">
        <v>186</v>
      </c>
      <c r="M48">
        <v>8</v>
      </c>
    </row>
    <row r="49" spans="9:64" x14ac:dyDescent="0.3">
      <c r="K49">
        <v>6</v>
      </c>
      <c r="L49" s="11" t="s">
        <v>180</v>
      </c>
      <c r="M49">
        <v>1</v>
      </c>
    </row>
    <row r="50" spans="9:64" x14ac:dyDescent="0.3">
      <c r="K50">
        <v>7</v>
      </c>
      <c r="L50" s="11" t="s">
        <v>176</v>
      </c>
      <c r="M50">
        <v>2</v>
      </c>
    </row>
    <row r="51" spans="9:64" x14ac:dyDescent="0.3">
      <c r="K51">
        <v>8</v>
      </c>
      <c r="L51" s="11" t="s">
        <v>181</v>
      </c>
      <c r="M51">
        <v>3</v>
      </c>
    </row>
    <row r="52" spans="9:64" x14ac:dyDescent="0.3">
      <c r="K52">
        <v>9</v>
      </c>
      <c r="L52" s="11" t="s">
        <v>182</v>
      </c>
      <c r="M52">
        <v>4</v>
      </c>
      <c r="BL52" t="s">
        <v>66</v>
      </c>
    </row>
    <row r="53" spans="9:64" x14ac:dyDescent="0.3">
      <c r="I53" s="1" t="s">
        <v>230</v>
      </c>
      <c r="T53" t="s">
        <v>199</v>
      </c>
      <c r="U53" t="s">
        <v>172</v>
      </c>
    </row>
    <row r="54" spans="9:64" x14ac:dyDescent="0.3">
      <c r="P54" s="4">
        <v>1</v>
      </c>
      <c r="Q54" t="s">
        <v>147</v>
      </c>
      <c r="T54" t="s">
        <v>198</v>
      </c>
      <c r="U54" t="s">
        <v>200</v>
      </c>
      <c r="V54" t="s">
        <v>201</v>
      </c>
      <c r="BL54" t="s">
        <v>67</v>
      </c>
    </row>
    <row r="55" spans="9:64" x14ac:dyDescent="0.3">
      <c r="P55" s="4">
        <v>2</v>
      </c>
      <c r="Q55" t="s">
        <v>148</v>
      </c>
      <c r="T55" t="s">
        <v>196</v>
      </c>
      <c r="U55" t="s">
        <v>202</v>
      </c>
    </row>
    <row r="56" spans="9:64" x14ac:dyDescent="0.3">
      <c r="P56" s="4">
        <v>3</v>
      </c>
      <c r="Q56" t="s">
        <v>149</v>
      </c>
      <c r="T56" t="s">
        <v>196</v>
      </c>
      <c r="U56" t="s">
        <v>202</v>
      </c>
      <c r="BL56" t="s">
        <v>68</v>
      </c>
    </row>
    <row r="57" spans="9:64" x14ac:dyDescent="0.3">
      <c r="P57" s="4">
        <v>4</v>
      </c>
      <c r="Q57" t="s">
        <v>150</v>
      </c>
      <c r="T57" t="s">
        <v>196</v>
      </c>
      <c r="U57" t="s">
        <v>202</v>
      </c>
    </row>
    <row r="58" spans="9:64" x14ac:dyDescent="0.3">
      <c r="P58" s="4">
        <v>5</v>
      </c>
      <c r="Q58" t="s">
        <v>151</v>
      </c>
      <c r="T58" t="s">
        <v>197</v>
      </c>
      <c r="U58" t="s">
        <v>203</v>
      </c>
    </row>
    <row r="59" spans="9:64" x14ac:dyDescent="0.3">
      <c r="P59" s="4">
        <v>6</v>
      </c>
      <c r="Q59" t="s">
        <v>152</v>
      </c>
      <c r="T59" t="s">
        <v>197</v>
      </c>
      <c r="U59" t="s">
        <v>203</v>
      </c>
    </row>
    <row r="61" spans="9:64" x14ac:dyDescent="0.3">
      <c r="P61" t="s">
        <v>3</v>
      </c>
      <c r="Q61" t="s">
        <v>4</v>
      </c>
      <c r="R61" t="s">
        <v>5</v>
      </c>
      <c r="S61" t="s">
        <v>6</v>
      </c>
      <c r="T61" t="s">
        <v>7</v>
      </c>
      <c r="U61" t="s">
        <v>8</v>
      </c>
      <c r="V61" t="s">
        <v>9</v>
      </c>
      <c r="W61" t="s">
        <v>10</v>
      </c>
      <c r="X61" t="s">
        <v>11</v>
      </c>
      <c r="Y61" t="s">
        <v>12</v>
      </c>
      <c r="Z61" t="s">
        <v>13</v>
      </c>
      <c r="AA61" t="s">
        <v>14</v>
      </c>
    </row>
    <row r="62" spans="9:64" x14ac:dyDescent="0.3">
      <c r="M62" t="s">
        <v>234</v>
      </c>
      <c r="P62" s="18">
        <f ca="1">IF($I68=1,P69,IF(OR($I68=2,$I68=3,$I68=4),Y69,AR69))</f>
        <v>1</v>
      </c>
      <c r="Q62" s="18">
        <f ca="1">IF($I68=1,P70,IF(OR($I68=2,$I68=3,$I68=4),Y70,AR70))</f>
        <v>1</v>
      </c>
      <c r="R62" s="18">
        <f ca="1">IF($I68=1,P71,IF(OR($I68=2,$I68=3,$I68=4),Y71,AR71))</f>
        <v>1</v>
      </c>
      <c r="S62" s="18">
        <f ca="1">IF($I68=1,P72,IF(OR($I68=2,$I68=3,$I68=4),Y72,AR72))</f>
        <v>1</v>
      </c>
      <c r="T62" s="18">
        <f ca="1">IF($I68=1,P73,IF(OR($I68=2,$I68=3,$I68=4),Y73,AR73))</f>
        <v>1</v>
      </c>
      <c r="U62" s="18">
        <f ca="1">IF($I68=1,P74,IF(OR($I68=2,$I68=3,$I68=4),Y74,AR74))</f>
        <v>1</v>
      </c>
      <c r="V62" s="18">
        <f ca="1">IF($I68=1,P75,IF(OR($I68=2,$I68=3,$I68=4),Y75,AR75))</f>
        <v>1</v>
      </c>
      <c r="W62" s="18">
        <f ca="1">IF($I68=1,P76,IF(OR($I68=2,$I68=3,$I68=4),Y76,AR76))</f>
        <v>1</v>
      </c>
      <c r="X62" s="18">
        <f ca="1">IF($I68=1,P77,IF(OR($I68=2,$I68=3,$I68=4),Y77,AR77))</f>
        <v>1</v>
      </c>
      <c r="Y62" s="18">
        <f ca="1">IF($I68=1,P78,IF(OR($I68=2,$I68=3,$I68=4),Y78,AR78))</f>
        <v>1</v>
      </c>
      <c r="Z62" s="18">
        <f ca="1">IF($I68=1,P79,IF(OR($I68=2,$I68=3,$I68=4),Y79,AR79))</f>
        <v>1</v>
      </c>
      <c r="AA62" s="18">
        <f ca="1">IF($I68=1,P80,IF(OR($I68=2,$I68=3,$I68=4),Y80,AR80))</f>
        <v>1</v>
      </c>
    </row>
    <row r="67" spans="9:62" x14ac:dyDescent="0.3">
      <c r="I67" t="s">
        <v>241</v>
      </c>
      <c r="N67" s="17" t="s">
        <v>245</v>
      </c>
      <c r="P67" s="15"/>
      <c r="Q67" s="15"/>
      <c r="S67" t="s">
        <v>380</v>
      </c>
      <c r="W67" s="17" t="s">
        <v>246</v>
      </c>
      <c r="Y67" s="15"/>
      <c r="Z67" s="15"/>
      <c r="AA67" s="15"/>
      <c r="AB67" s="15"/>
      <c r="AF67">
        <f ca="1">HLOOKUP(S71,Datablad!$H$96:$BQ$97,2,FALSE)</f>
        <v>1</v>
      </c>
      <c r="AG67" t="s">
        <v>249</v>
      </c>
      <c r="AL67" t="s">
        <v>380</v>
      </c>
      <c r="AP67" s="17" t="s">
        <v>247</v>
      </c>
    </row>
    <row r="68" spans="9:62" x14ac:dyDescent="0.3">
      <c r="I68" s="59">
        <f ca="1">'Drop-down'!$BG$2</f>
        <v>1</v>
      </c>
      <c r="O68" t="s">
        <v>231</v>
      </c>
      <c r="Q68" s="15"/>
      <c r="X68" t="s">
        <v>232</v>
      </c>
      <c r="AA68" t="s">
        <v>248</v>
      </c>
      <c r="AB68" t="s">
        <v>250</v>
      </c>
      <c r="AF68" t="e">
        <f ca="1">IF(S70=1,VLOOKUP(S69,$AE$70:$AF$72,2,FALSE),VLOOKUP(S69,$AE$73:$AF$75,2,FALSE))</f>
        <v>#N/A</v>
      </c>
      <c r="AG68" t="s">
        <v>251</v>
      </c>
      <c r="AK68" t="s">
        <v>235</v>
      </c>
      <c r="AL68" s="14">
        <f ca="1">I68</f>
        <v>1</v>
      </c>
      <c r="AM68" t="s">
        <v>236</v>
      </c>
      <c r="AQ68" t="s">
        <v>233</v>
      </c>
      <c r="AT68" t="s">
        <v>248</v>
      </c>
      <c r="AU68" t="s">
        <v>250</v>
      </c>
      <c r="AW68" t="s">
        <v>270</v>
      </c>
    </row>
    <row r="69" spans="9:62" x14ac:dyDescent="0.3">
      <c r="I69" t="s">
        <v>377</v>
      </c>
      <c r="O69" t="s">
        <v>3</v>
      </c>
      <c r="P69" s="15">
        <v>1</v>
      </c>
      <c r="Q69" s="15"/>
      <c r="S69" s="59">
        <f ca="1">I68</f>
        <v>1</v>
      </c>
      <c r="T69" t="s">
        <v>239</v>
      </c>
      <c r="X69" t="s">
        <v>71</v>
      </c>
      <c r="Y69" s="19" t="e" cm="1">
        <f t="array" aca="1" ref="Y69" ca="1">INDEX(Datablad!$H$102:$BQ$113,Rekenblad!AB69,Rekenblad!AA69)</f>
        <v>#N/A</v>
      </c>
      <c r="AA69" t="e">
        <f ca="1">AF67+AF68-1</f>
        <v>#N/A</v>
      </c>
      <c r="AB69">
        <v>1</v>
      </c>
      <c r="AD69" t="s">
        <v>218</v>
      </c>
      <c r="AF69" t="s">
        <v>248</v>
      </c>
      <c r="AG69" t="s">
        <v>252</v>
      </c>
      <c r="AL69" s="14">
        <f ca="1">I72</f>
        <v>0</v>
      </c>
      <c r="AM69" t="s">
        <v>174</v>
      </c>
      <c r="AQ69" t="s">
        <v>71</v>
      </c>
      <c r="AR69" s="19" cm="1">
        <f t="array" aca="1" ref="AR69" ca="1">INDEX(Datablad!$H$123:$DU$134,Rekenblad!AU69,Rekenblad!AT69)</f>
        <v>0.55000000000000004</v>
      </c>
      <c r="AT69">
        <f ca="1">$AX78+$AX76</f>
        <v>7</v>
      </c>
      <c r="AU69">
        <v>1</v>
      </c>
      <c r="AW69" t="s">
        <v>267</v>
      </c>
      <c r="AX69" t="s">
        <v>261</v>
      </c>
      <c r="AY69" s="9" t="s">
        <v>257</v>
      </c>
      <c r="AZ69" s="9" t="s">
        <v>256</v>
      </c>
      <c r="BA69" s="9" t="s">
        <v>255</v>
      </c>
      <c r="BB69" s="9" t="s">
        <v>262</v>
      </c>
      <c r="BC69" s="9" t="s">
        <v>254</v>
      </c>
      <c r="BD69" s="9" t="s">
        <v>253</v>
      </c>
      <c r="BE69" t="s">
        <v>264</v>
      </c>
      <c r="BF69" s="9" t="s">
        <v>263</v>
      </c>
      <c r="BG69" s="9" t="s">
        <v>258</v>
      </c>
      <c r="BH69" s="9" t="s">
        <v>259</v>
      </c>
      <c r="BI69" s="9" t="s">
        <v>265</v>
      </c>
      <c r="BJ69" s="9" t="s">
        <v>260</v>
      </c>
    </row>
    <row r="70" spans="9:62" x14ac:dyDescent="0.3">
      <c r="I70" s="58">
        <f ca="1">IF('Drop-down'!$BJ$2=3,2,1)</f>
        <v>1</v>
      </c>
      <c r="O70" t="s">
        <v>4</v>
      </c>
      <c r="P70" s="15">
        <v>1</v>
      </c>
      <c r="Q70" s="15"/>
      <c r="S70" s="59">
        <f ca="1">I70</f>
        <v>1</v>
      </c>
      <c r="T70" t="s">
        <v>240</v>
      </c>
      <c r="X70" t="s">
        <v>73</v>
      </c>
      <c r="Y70" s="19" t="e" cm="1">
        <f t="array" aca="1" ref="Y70" ca="1">INDEX(Datablad!$H$102:$BQ$113,Rekenblad!AB70,Rekenblad!AA70)</f>
        <v>#N/A</v>
      </c>
      <c r="AA70" t="e">
        <f ca="1">AF67+AF68-1</f>
        <v>#N/A</v>
      </c>
      <c r="AB70">
        <v>2</v>
      </c>
      <c r="AD70">
        <v>1</v>
      </c>
      <c r="AE70" s="15">
        <v>2</v>
      </c>
      <c r="AF70" s="15">
        <v>1</v>
      </c>
      <c r="AM70" t="s">
        <v>237</v>
      </c>
      <c r="AQ70" t="s">
        <v>73</v>
      </c>
      <c r="AR70" s="19" cm="1">
        <f t="array" aca="1" ref="AR70" ca="1">INDEX(Datablad!$H$123:$DU$134,Rekenblad!AU70,Rekenblad!AT70)</f>
        <v>0.57999999999999996</v>
      </c>
      <c r="AT70">
        <f ca="1">$AX78+$AX76</f>
        <v>7</v>
      </c>
      <c r="AU70">
        <v>2</v>
      </c>
      <c r="AW70" t="s">
        <v>248</v>
      </c>
      <c r="AX70">
        <v>0</v>
      </c>
      <c r="AY70">
        <v>1</v>
      </c>
      <c r="AZ70">
        <v>2</v>
      </c>
      <c r="BA70">
        <v>3</v>
      </c>
      <c r="BB70">
        <v>4</v>
      </c>
      <c r="BC70">
        <v>5</v>
      </c>
      <c r="BD70">
        <v>6</v>
      </c>
      <c r="BE70">
        <v>7</v>
      </c>
      <c r="BF70">
        <v>8</v>
      </c>
      <c r="BG70">
        <v>9</v>
      </c>
      <c r="BH70">
        <v>10</v>
      </c>
      <c r="BI70">
        <v>11</v>
      </c>
      <c r="BJ70">
        <v>12</v>
      </c>
    </row>
    <row r="71" spans="9:62" x14ac:dyDescent="0.3">
      <c r="I71" t="s">
        <v>376</v>
      </c>
      <c r="O71" t="s">
        <v>5</v>
      </c>
      <c r="P71" s="15">
        <v>1</v>
      </c>
      <c r="Q71" s="15"/>
      <c r="S71" s="58" t="str">
        <f ca="1">I75</f>
        <v>Z</v>
      </c>
      <c r="T71" t="s">
        <v>379</v>
      </c>
      <c r="X71" t="s">
        <v>74</v>
      </c>
      <c r="Y71" s="19" t="e" cm="1">
        <f t="array" aca="1" ref="Y71" ca="1">INDEX(Datablad!$H$102:$BQ$113,Rekenblad!AB71,Rekenblad!AA71)</f>
        <v>#N/A</v>
      </c>
      <c r="AA71" t="e">
        <f ca="1">AF67+AF68-1</f>
        <v>#N/A</v>
      </c>
      <c r="AB71">
        <v>3</v>
      </c>
      <c r="AD71">
        <v>1</v>
      </c>
      <c r="AE71" s="15">
        <v>3</v>
      </c>
      <c r="AF71" s="15">
        <v>3</v>
      </c>
      <c r="AM71" t="s">
        <v>238</v>
      </c>
      <c r="AQ71" t="s">
        <v>74</v>
      </c>
      <c r="AR71" s="19" cm="1">
        <f t="array" aca="1" ref="AR71" ca="1">INDEX(Datablad!$H$123:$DU$134,Rekenblad!AU71,Rekenblad!AT71)</f>
        <v>0.49</v>
      </c>
      <c r="AT71">
        <f ca="1">$AX78+$AX76</f>
        <v>7</v>
      </c>
      <c r="AU71">
        <v>3</v>
      </c>
      <c r="AW71" t="s">
        <v>266</v>
      </c>
      <c r="AX71">
        <f>AY71+15</f>
        <v>83</v>
      </c>
      <c r="AY71">
        <f>AZ71+15</f>
        <v>68</v>
      </c>
      <c r="AZ71">
        <f>BA71+15</f>
        <v>53</v>
      </c>
      <c r="BA71">
        <f>BB71+15</f>
        <v>38</v>
      </c>
      <c r="BB71">
        <f>BC71+15</f>
        <v>23</v>
      </c>
      <c r="BC71">
        <f>BD71+8</f>
        <v>8</v>
      </c>
      <c r="BD71">
        <v>0</v>
      </c>
      <c r="BE71">
        <f>AX71+15</f>
        <v>98</v>
      </c>
      <c r="BF71">
        <f>BE71+15</f>
        <v>113</v>
      </c>
      <c r="BG71">
        <f>BF71+15</f>
        <v>128</v>
      </c>
      <c r="BH71">
        <f>BG71+15</f>
        <v>143</v>
      </c>
      <c r="BI71">
        <f>BH71+15</f>
        <v>158</v>
      </c>
      <c r="BJ71">
        <f>BI71+15</f>
        <v>173</v>
      </c>
    </row>
    <row r="72" spans="9:62" x14ac:dyDescent="0.3">
      <c r="I72" s="14">
        <f ca="1">IF('Drop-down'!$BA$2="vul in",0,'Drop-down'!$BA$2)</f>
        <v>0</v>
      </c>
      <c r="O72" t="s">
        <v>6</v>
      </c>
      <c r="P72" s="15">
        <v>1</v>
      </c>
      <c r="Q72" s="15"/>
      <c r="X72" t="s">
        <v>75</v>
      </c>
      <c r="Y72" s="19" t="e" cm="1">
        <f t="array" aca="1" ref="Y72" ca="1">INDEX(Datablad!$H$102:$BQ$113,Rekenblad!AB72,Rekenblad!AA72)</f>
        <v>#N/A</v>
      </c>
      <c r="AA72" t="e">
        <f ca="1">AF67+AF68-1</f>
        <v>#N/A</v>
      </c>
      <c r="AB72">
        <v>4</v>
      </c>
      <c r="AD72">
        <v>1</v>
      </c>
      <c r="AE72" s="15">
        <v>4</v>
      </c>
      <c r="AF72" s="15">
        <v>5</v>
      </c>
      <c r="AL72" s="58" t="str">
        <f ca="1">I75</f>
        <v>Z</v>
      </c>
      <c r="AQ72" t="s">
        <v>75</v>
      </c>
      <c r="AR72" s="19" cm="1">
        <f t="array" aca="1" ref="AR72" ca="1">INDEX(Datablad!$H$123:$DU$134,Rekenblad!AU72,Rekenblad!AT72)</f>
        <v>0.36</v>
      </c>
      <c r="AT72">
        <f ca="1">$AX78+$AX76</f>
        <v>7</v>
      </c>
      <c r="AU72">
        <v>4</v>
      </c>
      <c r="AW72" t="s">
        <v>271</v>
      </c>
    </row>
    <row r="73" spans="9:62" x14ac:dyDescent="0.3">
      <c r="I73" t="s">
        <v>378</v>
      </c>
      <c r="O73" t="s">
        <v>7</v>
      </c>
      <c r="P73" s="15">
        <v>1</v>
      </c>
      <c r="Q73" s="15"/>
      <c r="X73" t="s">
        <v>76</v>
      </c>
      <c r="Y73" s="19" t="e" cm="1">
        <f t="array" aca="1" ref="Y73" ca="1">INDEX(Datablad!$H$102:$BQ$113,Rekenblad!AB73,Rekenblad!AA73)</f>
        <v>#N/A</v>
      </c>
      <c r="AA73" t="e">
        <f ca="1">AF67+AF68-1</f>
        <v>#N/A</v>
      </c>
      <c r="AB73">
        <v>5</v>
      </c>
      <c r="AD73">
        <v>2</v>
      </c>
      <c r="AE73" s="15">
        <v>2</v>
      </c>
      <c r="AF73" s="15">
        <v>2</v>
      </c>
      <c r="AQ73" t="s">
        <v>76</v>
      </c>
      <c r="AR73" s="19" cm="1">
        <f t="array" aca="1" ref="AR73" ca="1">INDEX(Datablad!$H$123:$DU$134,Rekenblad!AU73,Rekenblad!AT73)</f>
        <v>0.34</v>
      </c>
      <c r="AT73">
        <f ca="1">$AX78+$AX76</f>
        <v>7</v>
      </c>
      <c r="AU73">
        <v>5</v>
      </c>
      <c r="AW73" t="s">
        <v>248</v>
      </c>
      <c r="AX73">
        <f>BJ70</f>
        <v>12</v>
      </c>
      <c r="AY73">
        <f>BI70</f>
        <v>11</v>
      </c>
      <c r="AZ73">
        <f>BH70</f>
        <v>10</v>
      </c>
      <c r="BA73">
        <f>BG70</f>
        <v>9</v>
      </c>
      <c r="BB73">
        <f>BF70</f>
        <v>8</v>
      </c>
      <c r="BC73">
        <f>BE70</f>
        <v>7</v>
      </c>
      <c r="BD73">
        <f t="shared" ref="BD73:BJ74" si="28">AX70</f>
        <v>0</v>
      </c>
      <c r="BE73">
        <f t="shared" si="28"/>
        <v>1</v>
      </c>
      <c r="BF73">
        <f t="shared" si="28"/>
        <v>2</v>
      </c>
      <c r="BG73">
        <f t="shared" si="28"/>
        <v>3</v>
      </c>
      <c r="BH73">
        <f t="shared" si="28"/>
        <v>4</v>
      </c>
      <c r="BI73">
        <f t="shared" si="28"/>
        <v>5</v>
      </c>
      <c r="BJ73">
        <f t="shared" si="28"/>
        <v>6</v>
      </c>
    </row>
    <row r="74" spans="9:62" x14ac:dyDescent="0.3">
      <c r="I74" s="58" t="str">
        <f ca="1">M42</f>
        <v>Z</v>
      </c>
      <c r="O74" t="s">
        <v>8</v>
      </c>
      <c r="P74" s="15">
        <v>1</v>
      </c>
      <c r="Q74" s="15"/>
      <c r="X74" t="s">
        <v>77</v>
      </c>
      <c r="Y74" s="19" t="e" cm="1">
        <f t="array" aca="1" ref="Y74" ca="1">INDEX(Datablad!$H$102:$BQ$113,Rekenblad!AB74,Rekenblad!AA74)</f>
        <v>#N/A</v>
      </c>
      <c r="AA74" t="e">
        <f ca="1">AF67+AF68-1</f>
        <v>#N/A</v>
      </c>
      <c r="AB74">
        <v>6</v>
      </c>
      <c r="AD74">
        <v>2</v>
      </c>
      <c r="AE74" s="15">
        <v>3</v>
      </c>
      <c r="AF74" s="15">
        <v>4</v>
      </c>
      <c r="AQ74" t="s">
        <v>77</v>
      </c>
      <c r="AR74" s="19" cm="1">
        <f t="array" aca="1" ref="AR74" ca="1">INDEX(Datablad!$H$123:$DU$134,Rekenblad!AU74,Rekenblad!AT74)</f>
        <v>0.37</v>
      </c>
      <c r="AT74">
        <f ca="1">$AX78+$AX76</f>
        <v>7</v>
      </c>
      <c r="AU74">
        <v>6</v>
      </c>
      <c r="AW74" t="s">
        <v>268</v>
      </c>
      <c r="AX74">
        <f>BJ71</f>
        <v>173</v>
      </c>
      <c r="AY74">
        <f>BI71</f>
        <v>158</v>
      </c>
      <c r="AZ74">
        <f>BH71</f>
        <v>143</v>
      </c>
      <c r="BA74">
        <f>BG71</f>
        <v>128</v>
      </c>
      <c r="BB74">
        <f>BF71</f>
        <v>113</v>
      </c>
      <c r="BC74">
        <f>BE71</f>
        <v>98</v>
      </c>
      <c r="BD74">
        <f t="shared" si="28"/>
        <v>83</v>
      </c>
      <c r="BE74">
        <f t="shared" si="28"/>
        <v>68</v>
      </c>
      <c r="BF74">
        <f t="shared" si="28"/>
        <v>53</v>
      </c>
      <c r="BG74">
        <f t="shared" si="28"/>
        <v>38</v>
      </c>
      <c r="BH74">
        <f t="shared" si="28"/>
        <v>23</v>
      </c>
      <c r="BI74">
        <f t="shared" si="28"/>
        <v>8</v>
      </c>
      <c r="BJ74">
        <f t="shared" si="28"/>
        <v>0</v>
      </c>
    </row>
    <row r="75" spans="9:62" x14ac:dyDescent="0.3">
      <c r="I75" t="str">
        <f ca="1">IF(I72&lt;15,"Z",IF(I74="ho","Z",I74))</f>
        <v>Z</v>
      </c>
      <c r="O75" t="s">
        <v>9</v>
      </c>
      <c r="P75" s="15">
        <v>1</v>
      </c>
      <c r="Q75" s="15"/>
      <c r="X75" t="s">
        <v>78</v>
      </c>
      <c r="Y75" s="19" t="e" cm="1">
        <f t="array" aca="1" ref="Y75" ca="1">INDEX(Datablad!$H$102:$BQ$113,Rekenblad!AB75,Rekenblad!AA75)</f>
        <v>#N/A</v>
      </c>
      <c r="AA75" t="e">
        <f ca="1">AF67+AF68-1</f>
        <v>#N/A</v>
      </c>
      <c r="AB75">
        <v>7</v>
      </c>
      <c r="AD75">
        <v>2</v>
      </c>
      <c r="AE75" s="15">
        <v>4</v>
      </c>
      <c r="AF75" s="15">
        <v>6</v>
      </c>
      <c r="AQ75" t="s">
        <v>78</v>
      </c>
      <c r="AR75" s="19" cm="1">
        <f t="array" aca="1" ref="AR75" ca="1">INDEX(Datablad!$H$123:$DU$134,Rekenblad!AU75,Rekenblad!AT75)</f>
        <v>0.41</v>
      </c>
      <c r="AT75">
        <f ca="1">$AX78+$AX76</f>
        <v>7</v>
      </c>
      <c r="AU75">
        <v>7</v>
      </c>
      <c r="AW75" t="s">
        <v>174</v>
      </c>
      <c r="AX75">
        <f ca="1">AL69</f>
        <v>0</v>
      </c>
    </row>
    <row r="76" spans="9:62" x14ac:dyDescent="0.3">
      <c r="I76" t="s">
        <v>371</v>
      </c>
      <c r="O76" t="s">
        <v>10</v>
      </c>
      <c r="P76" s="15">
        <v>1</v>
      </c>
      <c r="Q76" s="15"/>
      <c r="X76" t="s">
        <v>79</v>
      </c>
      <c r="Y76" s="19" t="e" cm="1">
        <f t="array" aca="1" ref="Y76" ca="1">INDEX(Datablad!$H$102:$BQ$113,Rekenblad!AB76,Rekenblad!AA76)</f>
        <v>#N/A</v>
      </c>
      <c r="AA76" t="e">
        <f ca="1">AF67+AF68-1</f>
        <v>#N/A</v>
      </c>
      <c r="AB76">
        <v>8</v>
      </c>
      <c r="AQ76" t="s">
        <v>79</v>
      </c>
      <c r="AR76" s="19" cm="1">
        <f t="array" aca="1" ref="AR76" ca="1">INDEX(Datablad!$H$123:$DU$134,Rekenblad!AU76,Rekenblad!AT76)</f>
        <v>0.37</v>
      </c>
      <c r="AT76">
        <f ca="1">$AX78+$AX76</f>
        <v>7</v>
      </c>
      <c r="AU76">
        <v>8</v>
      </c>
      <c r="AW76" t="s">
        <v>269</v>
      </c>
      <c r="AX76">
        <f ca="1">IF(AX75&gt;=AX74,AX73,IF(AX75&gt;=AY74,AY73,IF(AX75&gt;=AZ74,AZ73,IF(AX75&gt;=BA74,BA73,IF(AX75&gt;=BB74,BB73,IF(AX75&gt;=BC74,BC73,IF(AX75&gt;=BD74,BD73,IF(AX75&gt;=BE74,BE73,IF(AX75&gt;=BF74,BF73,IF(AX75&gt;=BG74,BG73,IF(AX75&gt;=BH74,BH73,IF(AX75&gt;=BI74,BI73,IF(AX75&gt;=BJ74,BJ73)))))))))))))</f>
        <v>6</v>
      </c>
    </row>
    <row r="77" spans="9:62" x14ac:dyDescent="0.3">
      <c r="O77" t="s">
        <v>11</v>
      </c>
      <c r="P77" s="15">
        <v>1</v>
      </c>
      <c r="Q77" s="15"/>
      <c r="X77" t="s">
        <v>80</v>
      </c>
      <c r="Y77" s="19" t="e" cm="1">
        <f t="array" aca="1" ref="Y77" ca="1">INDEX(Datablad!$H$102:$BQ$113,Rekenblad!AB77,Rekenblad!AA77)</f>
        <v>#N/A</v>
      </c>
      <c r="AA77" t="e">
        <f ca="1">AF67+AF68-1</f>
        <v>#N/A</v>
      </c>
      <c r="AB77">
        <v>9</v>
      </c>
      <c r="AQ77" t="s">
        <v>80</v>
      </c>
      <c r="AR77" s="19" cm="1">
        <f t="array" aca="1" ref="AR77" ca="1">INDEX(Datablad!$H$123:$DU$134,Rekenblad!AU77,Rekenblad!AT77)</f>
        <v>0.43</v>
      </c>
      <c r="AT77">
        <f ca="1">$AX78+$AX76</f>
        <v>7</v>
      </c>
      <c r="AU77">
        <v>9</v>
      </c>
    </row>
    <row r="78" spans="9:62" x14ac:dyDescent="0.3">
      <c r="O78" t="s">
        <v>12</v>
      </c>
      <c r="P78" s="15">
        <v>1</v>
      </c>
      <c r="Q78" s="15"/>
      <c r="X78" t="s">
        <v>81</v>
      </c>
      <c r="Y78" s="19" t="e" cm="1">
        <f t="array" aca="1" ref="Y78" ca="1">INDEX(Datablad!$H$102:$BQ$113,Rekenblad!AB78,Rekenblad!AA78)</f>
        <v>#N/A</v>
      </c>
      <c r="AA78" t="e">
        <f ca="1">AF67+AF68-1</f>
        <v>#N/A</v>
      </c>
      <c r="AB78">
        <v>10</v>
      </c>
      <c r="AQ78" t="s">
        <v>81</v>
      </c>
      <c r="AR78" s="19" cm="1">
        <f t="array" aca="1" ref="AR78" ca="1">INDEX(Datablad!$H$123:$DU$134,Rekenblad!AU78,Rekenblad!AT78)</f>
        <v>0.48</v>
      </c>
      <c r="AT78">
        <f ca="1">$AX78+$AX76</f>
        <v>7</v>
      </c>
      <c r="AU78">
        <v>10</v>
      </c>
      <c r="AX78">
        <f ca="1">HLOOKUP(AL72,Datablad!$H$115:$DU$116,2,FALSE)</f>
        <v>1</v>
      </c>
      <c r="AY78" t="s">
        <v>272</v>
      </c>
    </row>
    <row r="79" spans="9:62" x14ac:dyDescent="0.3">
      <c r="O79" t="s">
        <v>13</v>
      </c>
      <c r="P79" s="15">
        <v>1</v>
      </c>
      <c r="Q79" s="15"/>
      <c r="X79" t="s">
        <v>82</v>
      </c>
      <c r="Y79" s="19" t="e" cm="1">
        <f t="array" aca="1" ref="Y79" ca="1">INDEX(Datablad!$H$102:$BQ$113,Rekenblad!AB79,Rekenblad!AA79)</f>
        <v>#N/A</v>
      </c>
      <c r="AA79" t="e">
        <f ca="1">AF67+AF68-1</f>
        <v>#N/A</v>
      </c>
      <c r="AB79">
        <v>11</v>
      </c>
      <c r="AQ79" t="s">
        <v>82</v>
      </c>
      <c r="AR79" s="19" cm="1">
        <f t="array" aca="1" ref="AR79" ca="1">INDEX(Datablad!$H$123:$DU$134,Rekenblad!AU79,Rekenblad!AT79)</f>
        <v>0.56000000000000005</v>
      </c>
      <c r="AT79">
        <f ca="1">$AX78+$AX76</f>
        <v>7</v>
      </c>
      <c r="AU79">
        <v>11</v>
      </c>
      <c r="AY79" t="s">
        <v>273</v>
      </c>
    </row>
    <row r="80" spans="9:62" x14ac:dyDescent="0.3">
      <c r="O80" t="s">
        <v>14</v>
      </c>
      <c r="P80" s="15">
        <v>1</v>
      </c>
      <c r="Q80" s="15"/>
      <c r="X80" t="s">
        <v>83</v>
      </c>
      <c r="Y80" s="19" t="e" cm="1">
        <f t="array" aca="1" ref="Y80" ca="1">INDEX(Datablad!$H$102:$BQ$113,Rekenblad!AB80,Rekenblad!AA80)</f>
        <v>#N/A</v>
      </c>
      <c r="AA80" t="e">
        <f ca="1">AF67+AF68-1</f>
        <v>#N/A</v>
      </c>
      <c r="AB80">
        <v>12</v>
      </c>
      <c r="AQ80" t="s">
        <v>83</v>
      </c>
      <c r="AR80" s="19" cm="1">
        <f t="array" aca="1" ref="AR80" ca="1">INDEX(Datablad!$H$123:$DU$134,Rekenblad!AU80,Rekenblad!AT80)</f>
        <v>0.6</v>
      </c>
      <c r="AT80">
        <f ca="1">$AX78+$AX76</f>
        <v>7</v>
      </c>
      <c r="AU80">
        <v>12</v>
      </c>
      <c r="AY80" s="15"/>
    </row>
    <row r="81" spans="6:28" x14ac:dyDescent="0.3">
      <c r="T81" s="15"/>
      <c r="U81" s="15"/>
      <c r="V81" s="15"/>
      <c r="W81" s="15"/>
      <c r="X81" s="15"/>
      <c r="Y81" s="15"/>
      <c r="Z81" s="15"/>
      <c r="AA81" s="15"/>
      <c r="AB81" s="15"/>
    </row>
    <row r="83" spans="6:28" x14ac:dyDescent="0.3">
      <c r="I83" s="1" t="s">
        <v>242</v>
      </c>
      <c r="M83" t="str">
        <f t="shared" ref="M83:X84" si="29">P61</f>
        <v>januari</v>
      </c>
      <c r="N83" t="str">
        <f t="shared" si="29"/>
        <v>februari</v>
      </c>
      <c r="O83" t="str">
        <f t="shared" si="29"/>
        <v>maart</v>
      </c>
      <c r="P83" t="str">
        <f t="shared" si="29"/>
        <v>april</v>
      </c>
      <c r="Q83" t="str">
        <f t="shared" si="29"/>
        <v>mei</v>
      </c>
      <c r="R83" t="str">
        <f t="shared" si="29"/>
        <v>juni</v>
      </c>
      <c r="S83" t="str">
        <f t="shared" si="29"/>
        <v>juli</v>
      </c>
      <c r="T83" t="str">
        <f t="shared" si="29"/>
        <v>augustus</v>
      </c>
      <c r="U83" t="str">
        <f t="shared" si="29"/>
        <v>september</v>
      </c>
      <c r="V83" t="str">
        <f t="shared" si="29"/>
        <v>oktober</v>
      </c>
      <c r="W83" t="str">
        <f t="shared" si="29"/>
        <v>november</v>
      </c>
      <c r="X83" t="str">
        <f t="shared" si="29"/>
        <v>december</v>
      </c>
    </row>
    <row r="84" spans="6:28" x14ac:dyDescent="0.3">
      <c r="I84" s="1"/>
      <c r="L84" t="s">
        <v>114</v>
      </c>
      <c r="M84">
        <f ca="1">P62</f>
        <v>1</v>
      </c>
      <c r="N84">
        <f t="shared" ca="1" si="29"/>
        <v>1</v>
      </c>
      <c r="O84">
        <f t="shared" ca="1" si="29"/>
        <v>1</v>
      </c>
      <c r="P84">
        <f t="shared" ca="1" si="29"/>
        <v>1</v>
      </c>
      <c r="Q84">
        <f t="shared" ca="1" si="29"/>
        <v>1</v>
      </c>
      <c r="R84">
        <f t="shared" ca="1" si="29"/>
        <v>1</v>
      </c>
      <c r="S84">
        <f t="shared" ca="1" si="29"/>
        <v>1</v>
      </c>
      <c r="T84">
        <f t="shared" ca="1" si="29"/>
        <v>1</v>
      </c>
      <c r="U84">
        <f t="shared" ca="1" si="29"/>
        <v>1</v>
      </c>
      <c r="V84">
        <f t="shared" ca="1" si="29"/>
        <v>1</v>
      </c>
      <c r="W84">
        <f t="shared" ca="1" si="29"/>
        <v>1</v>
      </c>
      <c r="X84">
        <f t="shared" ca="1" si="29"/>
        <v>1</v>
      </c>
    </row>
    <row r="85" spans="6:28" x14ac:dyDescent="0.3">
      <c r="I85" s="1" t="s">
        <v>244</v>
      </c>
    </row>
    <row r="86" spans="6:28" x14ac:dyDescent="0.3">
      <c r="I86" s="4" t="s">
        <v>114</v>
      </c>
      <c r="J86" s="4" t="s">
        <v>243</v>
      </c>
      <c r="L86" t="s">
        <v>109</v>
      </c>
      <c r="M86" s="18">
        <f ca="1">IF(M84&lt;=0.8,$J$107,(VLOOKUP(M84,$I$87:$J$107,2,FALSE)))</f>
        <v>1</v>
      </c>
      <c r="N86" s="18">
        <f t="shared" ref="N86:X86" ca="1" si="30">IF(N84&lt;=0.8,$J$107,(VLOOKUP(N84,$I$87:$J$107,2,FALSE)))</f>
        <v>1</v>
      </c>
      <c r="O86" s="18">
        <f t="shared" ca="1" si="30"/>
        <v>1</v>
      </c>
      <c r="P86" s="18">
        <f t="shared" ca="1" si="30"/>
        <v>1</v>
      </c>
      <c r="Q86" s="18">
        <f t="shared" ca="1" si="30"/>
        <v>1</v>
      </c>
      <c r="R86" s="18">
        <f t="shared" ca="1" si="30"/>
        <v>1</v>
      </c>
      <c r="S86" s="18">
        <f t="shared" ca="1" si="30"/>
        <v>1</v>
      </c>
      <c r="T86" s="18">
        <f t="shared" ca="1" si="30"/>
        <v>1</v>
      </c>
      <c r="U86" s="18">
        <f t="shared" ca="1" si="30"/>
        <v>1</v>
      </c>
      <c r="V86" s="18">
        <f t="shared" ca="1" si="30"/>
        <v>1</v>
      </c>
      <c r="W86" s="18">
        <f t="shared" ca="1" si="30"/>
        <v>1</v>
      </c>
      <c r="X86" s="18">
        <f t="shared" ca="1" si="30"/>
        <v>1</v>
      </c>
    </row>
    <row r="87" spans="6:28" x14ac:dyDescent="0.3">
      <c r="I87" s="4">
        <v>1</v>
      </c>
      <c r="J87" s="4">
        <v>1</v>
      </c>
    </row>
    <row r="88" spans="6:28" x14ac:dyDescent="0.3">
      <c r="I88" s="4">
        <v>0.99</v>
      </c>
      <c r="J88" s="4">
        <v>0.99</v>
      </c>
    </row>
    <row r="89" spans="6:28" x14ac:dyDescent="0.3">
      <c r="I89" s="4">
        <v>0.98</v>
      </c>
      <c r="J89" s="4">
        <v>0.98</v>
      </c>
    </row>
    <row r="90" spans="6:28" x14ac:dyDescent="0.3">
      <c r="I90" s="4">
        <v>0.97</v>
      </c>
      <c r="J90" s="4">
        <v>0.97</v>
      </c>
    </row>
    <row r="91" spans="6:28" x14ac:dyDescent="0.3">
      <c r="I91" s="4">
        <v>0.96</v>
      </c>
      <c r="J91" s="4">
        <v>0.96</v>
      </c>
    </row>
    <row r="92" spans="6:28" x14ac:dyDescent="0.3">
      <c r="I92" s="4">
        <v>0.95</v>
      </c>
      <c r="J92" s="4">
        <v>0.95</v>
      </c>
    </row>
    <row r="93" spans="6:28" x14ac:dyDescent="0.3">
      <c r="I93" s="4">
        <v>0.94</v>
      </c>
      <c r="J93" s="4">
        <f>0.89+4/5*0.06</f>
        <v>0.93800000000000006</v>
      </c>
    </row>
    <row r="94" spans="6:28" x14ac:dyDescent="0.3">
      <c r="I94" s="4">
        <v>0.93</v>
      </c>
      <c r="J94" s="4">
        <f>0.89+3/5*0.06</f>
        <v>0.92600000000000005</v>
      </c>
    </row>
    <row r="95" spans="6:28" x14ac:dyDescent="0.3">
      <c r="F95" s="15"/>
      <c r="G95" s="15"/>
      <c r="I95" s="4">
        <v>0.92</v>
      </c>
      <c r="J95" s="4">
        <f>0.89+2/5*0.06</f>
        <v>0.91400000000000003</v>
      </c>
    </row>
    <row r="96" spans="6:28" x14ac:dyDescent="0.3">
      <c r="I96" s="4">
        <v>0.91</v>
      </c>
      <c r="J96" s="4">
        <f>0.89+1/5*0.06</f>
        <v>0.90200000000000002</v>
      </c>
    </row>
    <row r="97" spans="2:64" x14ac:dyDescent="0.3">
      <c r="I97" s="4">
        <v>0.9</v>
      </c>
      <c r="J97" s="4">
        <v>0.89</v>
      </c>
    </row>
    <row r="98" spans="2:64" x14ac:dyDescent="0.3">
      <c r="I98" s="4">
        <v>0.89</v>
      </c>
      <c r="J98" s="4">
        <f>0.82+4/5*0.07</f>
        <v>0.876</v>
      </c>
    </row>
    <row r="99" spans="2:64" x14ac:dyDescent="0.3">
      <c r="I99" s="4">
        <v>0.88</v>
      </c>
      <c r="J99" s="4">
        <f>0.82+3/5*0.07</f>
        <v>0.86199999999999999</v>
      </c>
    </row>
    <row r="100" spans="2:64" x14ac:dyDescent="0.3">
      <c r="I100" s="4">
        <v>0.87</v>
      </c>
      <c r="J100" s="4">
        <f>0.82+2/5*0.07</f>
        <v>0.84799999999999998</v>
      </c>
    </row>
    <row r="101" spans="2:64" x14ac:dyDescent="0.3">
      <c r="I101" s="4">
        <v>0.86</v>
      </c>
      <c r="J101" s="4">
        <f>0.82+1/5*0.07</f>
        <v>0.83399999999999996</v>
      </c>
    </row>
    <row r="102" spans="2:64" x14ac:dyDescent="0.3">
      <c r="I102" s="4">
        <v>0.85</v>
      </c>
      <c r="J102" s="4">
        <v>0.82</v>
      </c>
    </row>
    <row r="103" spans="2:64" x14ac:dyDescent="0.3">
      <c r="I103" s="4">
        <v>0.84</v>
      </c>
      <c r="J103" s="4">
        <f>0.75+4/5*0.07</f>
        <v>0.80600000000000005</v>
      </c>
    </row>
    <row r="104" spans="2:64" x14ac:dyDescent="0.3">
      <c r="I104" s="4">
        <v>0.83</v>
      </c>
      <c r="J104" s="4">
        <f>0.75+3/5*0.07</f>
        <v>0.79200000000000004</v>
      </c>
    </row>
    <row r="105" spans="2:64" x14ac:dyDescent="0.3">
      <c r="I105" s="4">
        <v>0.82</v>
      </c>
      <c r="J105" s="4">
        <f>0.75+2/5*0.07</f>
        <v>0.77800000000000002</v>
      </c>
    </row>
    <row r="106" spans="2:64" x14ac:dyDescent="0.3">
      <c r="I106" s="4">
        <v>0.81</v>
      </c>
      <c r="J106" s="4">
        <f>0.75+1/5*0.07</f>
        <v>0.76400000000000001</v>
      </c>
    </row>
    <row r="107" spans="2:64" x14ac:dyDescent="0.3">
      <c r="I107" s="4">
        <v>0.8</v>
      </c>
      <c r="J107" s="4">
        <v>0.75</v>
      </c>
    </row>
    <row r="109" spans="2:64" x14ac:dyDescent="0.3">
      <c r="B109" s="29" t="s">
        <v>100</v>
      </c>
      <c r="D109" s="1" t="s">
        <v>2</v>
      </c>
      <c r="E109" s="1" t="s">
        <v>3</v>
      </c>
      <c r="F109" s="1" t="s">
        <v>4</v>
      </c>
      <c r="G109" s="1" t="s">
        <v>5</v>
      </c>
      <c r="H109" s="1" t="s">
        <v>6</v>
      </c>
      <c r="I109" s="1" t="s">
        <v>7</v>
      </c>
      <c r="J109" s="1" t="s">
        <v>8</v>
      </c>
      <c r="K109" s="1" t="s">
        <v>9</v>
      </c>
      <c r="L109" s="1" t="s">
        <v>10</v>
      </c>
      <c r="M109" s="1" t="s">
        <v>11</v>
      </c>
      <c r="N109" s="1" t="s">
        <v>12</v>
      </c>
      <c r="O109" s="1" t="s">
        <v>13</v>
      </c>
      <c r="P109" s="1" t="s">
        <v>14</v>
      </c>
      <c r="BL109" t="s">
        <v>60</v>
      </c>
    </row>
    <row r="110" spans="2:64" x14ac:dyDescent="0.3">
      <c r="C110" t="s">
        <v>98</v>
      </c>
      <c r="D110">
        <f ca="1">SUM(E110:P110)</f>
        <v>0</v>
      </c>
      <c r="E110">
        <f ca="1">(E111*E112*E116*E118*E119)/E120</f>
        <v>0</v>
      </c>
      <c r="F110">
        <f t="shared" ref="F110:P110" ca="1" si="31">(F111*F112*F116*F118*F119)/F120</f>
        <v>0</v>
      </c>
      <c r="G110">
        <f t="shared" ca="1" si="31"/>
        <v>0</v>
      </c>
      <c r="H110">
        <f t="shared" ca="1" si="31"/>
        <v>0</v>
      </c>
      <c r="I110">
        <f t="shared" ca="1" si="31"/>
        <v>0</v>
      </c>
      <c r="J110">
        <f t="shared" ca="1" si="31"/>
        <v>0</v>
      </c>
      <c r="K110">
        <f t="shared" ca="1" si="31"/>
        <v>0</v>
      </c>
      <c r="L110">
        <f t="shared" ca="1" si="31"/>
        <v>0</v>
      </c>
      <c r="M110">
        <f t="shared" ca="1" si="31"/>
        <v>0</v>
      </c>
      <c r="N110">
        <f t="shared" ca="1" si="31"/>
        <v>0</v>
      </c>
      <c r="O110">
        <f t="shared" ca="1" si="31"/>
        <v>0</v>
      </c>
      <c r="P110">
        <f t="shared" ca="1" si="31"/>
        <v>0</v>
      </c>
      <c r="Q110" t="s">
        <v>278</v>
      </c>
    </row>
    <row r="111" spans="2:64" x14ac:dyDescent="0.3">
      <c r="C111" t="s">
        <v>106</v>
      </c>
      <c r="E111">
        <f ca="1">E121*E122*E123/1000</f>
        <v>11.457600000000001</v>
      </c>
      <c r="F111">
        <f t="shared" ref="F111:P111" ca="1" si="32">F121*F122*F123/1000</f>
        <v>19.215167999999998</v>
      </c>
      <c r="G111">
        <f t="shared" ca="1" si="32"/>
        <v>35.216495999999999</v>
      </c>
      <c r="H111">
        <f t="shared" ca="1" si="32"/>
        <v>41.601599999999998</v>
      </c>
      <c r="I111">
        <f t="shared" ca="1" si="32"/>
        <v>49.833120000000001</v>
      </c>
      <c r="J111">
        <f t="shared" ca="1" si="32"/>
        <v>55.75752</v>
      </c>
      <c r="K111">
        <f t="shared" ca="1" si="32"/>
        <v>58.262639999999998</v>
      </c>
      <c r="L111">
        <f t="shared" ca="1" si="32"/>
        <v>48.779615999999997</v>
      </c>
      <c r="M111">
        <f t="shared" ca="1" si="32"/>
        <v>38.359439999999999</v>
      </c>
      <c r="N111">
        <f t="shared" ca="1" si="32"/>
        <v>26.141184000000003</v>
      </c>
      <c r="O111">
        <f t="shared" ca="1" si="32"/>
        <v>13.829759999999998</v>
      </c>
      <c r="P111">
        <f t="shared" ca="1" si="32"/>
        <v>9.3743999999999996</v>
      </c>
      <c r="Q111" t="s">
        <v>277</v>
      </c>
    </row>
    <row r="112" spans="2:64" x14ac:dyDescent="0.3">
      <c r="C112" t="s">
        <v>107</v>
      </c>
      <c r="D112" s="60">
        <f>IF(OR('Drop-down'!$AU$3="nvt",'Drop-down'!$AU$3="nog te berekenen"),0,'Drop-down'!$AU$3/1000)</f>
        <v>0</v>
      </c>
      <c r="E112" s="28">
        <f>$D112</f>
        <v>0</v>
      </c>
      <c r="F112" s="28">
        <f t="shared" ref="F112:P112" si="33">$D112</f>
        <v>0</v>
      </c>
      <c r="G112" s="28">
        <f t="shared" si="33"/>
        <v>0</v>
      </c>
      <c r="H112" s="28">
        <f t="shared" si="33"/>
        <v>0</v>
      </c>
      <c r="I112" s="28">
        <f t="shared" si="33"/>
        <v>0</v>
      </c>
      <c r="J112" s="28">
        <f t="shared" si="33"/>
        <v>0</v>
      </c>
      <c r="K112" s="28">
        <f t="shared" si="33"/>
        <v>0</v>
      </c>
      <c r="L112" s="28">
        <f t="shared" si="33"/>
        <v>0</v>
      </c>
      <c r="M112" s="28">
        <f t="shared" si="33"/>
        <v>0</v>
      </c>
      <c r="N112" s="28">
        <f t="shared" si="33"/>
        <v>0</v>
      </c>
      <c r="O112" s="28">
        <f t="shared" si="33"/>
        <v>0</v>
      </c>
      <c r="P112" s="28">
        <f t="shared" si="33"/>
        <v>0</v>
      </c>
      <c r="Q112" t="s">
        <v>337</v>
      </c>
      <c r="BL112" t="s">
        <v>59</v>
      </c>
    </row>
    <row r="113" spans="3:64" x14ac:dyDescent="0.3">
      <c r="C113" s="27" t="s">
        <v>116</v>
      </c>
      <c r="Q113" t="s">
        <v>276</v>
      </c>
    </row>
    <row r="114" spans="3:64" x14ac:dyDescent="0.3">
      <c r="C114" s="27" t="s">
        <v>117</v>
      </c>
      <c r="Q114" t="s">
        <v>18</v>
      </c>
      <c r="BL114" t="s">
        <v>61</v>
      </c>
    </row>
    <row r="115" spans="3:64" x14ac:dyDescent="0.3">
      <c r="C115" s="27" t="s">
        <v>115</v>
      </c>
      <c r="Q115" t="s">
        <v>275</v>
      </c>
    </row>
    <row r="116" spans="3:64" x14ac:dyDescent="0.3">
      <c r="C116" t="s">
        <v>108</v>
      </c>
      <c r="D116" s="14" cm="1">
        <f t="array" ref="D116">IF('Drop-down'!$BD$3=0,0,IF('Drop-down'!$BD$3="nvt",0,INDEX(Datablad!$C$26:$E$29,'Drop-down'!$BD$3,3)))</f>
        <v>0</v>
      </c>
      <c r="E116">
        <f>$D116</f>
        <v>0</v>
      </c>
      <c r="F116">
        <f t="shared" ref="F116:O116" si="34">$D116</f>
        <v>0</v>
      </c>
      <c r="G116">
        <f t="shared" si="34"/>
        <v>0</v>
      </c>
      <c r="H116">
        <f t="shared" si="34"/>
        <v>0</v>
      </c>
      <c r="I116">
        <f t="shared" si="34"/>
        <v>0</v>
      </c>
      <c r="J116">
        <f t="shared" si="34"/>
        <v>0</v>
      </c>
      <c r="K116">
        <f t="shared" si="34"/>
        <v>0</v>
      </c>
      <c r="L116">
        <f t="shared" si="34"/>
        <v>0</v>
      </c>
      <c r="M116">
        <f t="shared" si="34"/>
        <v>0</v>
      </c>
      <c r="N116">
        <f t="shared" si="34"/>
        <v>0</v>
      </c>
      <c r="O116">
        <f t="shared" si="34"/>
        <v>0</v>
      </c>
      <c r="P116">
        <f>$D116</f>
        <v>0</v>
      </c>
      <c r="Q116" t="s">
        <v>112</v>
      </c>
      <c r="BL116" t="s">
        <v>62</v>
      </c>
    </row>
    <row r="117" spans="3:64" x14ac:dyDescent="0.3">
      <c r="C117" t="s">
        <v>118</v>
      </c>
      <c r="D117" s="14" t="str">
        <f>'Drop-down'!$BD$3</f>
        <v>nvt</v>
      </c>
      <c r="Q117" t="s">
        <v>274</v>
      </c>
    </row>
    <row r="118" spans="3:64" x14ac:dyDescent="0.3">
      <c r="C118" t="s">
        <v>109</v>
      </c>
      <c r="E118">
        <f ca="1">M174</f>
        <v>0.75</v>
      </c>
      <c r="F118">
        <f ca="1">N174</f>
        <v>0.75</v>
      </c>
      <c r="G118">
        <f t="shared" ref="G118" ca="1" si="35">O174</f>
        <v>0.75</v>
      </c>
      <c r="H118">
        <f t="shared" ref="H118" ca="1" si="36">P174</f>
        <v>0.75</v>
      </c>
      <c r="I118">
        <f t="shared" ref="I118" ca="1" si="37">Q174</f>
        <v>0.75</v>
      </c>
      <c r="J118">
        <f t="shared" ref="J118" ca="1" si="38">R174</f>
        <v>0.75</v>
      </c>
      <c r="K118">
        <f t="shared" ref="K118" ca="1" si="39">S174</f>
        <v>0.75</v>
      </c>
      <c r="L118">
        <f t="shared" ref="L118" ca="1" si="40">T174</f>
        <v>0.75</v>
      </c>
      <c r="M118">
        <f t="shared" ref="M118" ca="1" si="41">U174</f>
        <v>0.75</v>
      </c>
      <c r="N118">
        <f t="shared" ref="N118" ca="1" si="42">V174</f>
        <v>0.75</v>
      </c>
      <c r="O118">
        <f t="shared" ref="O118" ca="1" si="43">W174</f>
        <v>0.75</v>
      </c>
      <c r="P118">
        <f t="shared" ref="P118" ca="1" si="44">X174</f>
        <v>0.75</v>
      </c>
      <c r="Q118" t="s">
        <v>194</v>
      </c>
      <c r="BL118" t="s">
        <v>57</v>
      </c>
    </row>
    <row r="119" spans="3:64" x14ac:dyDescent="0.3">
      <c r="C119" t="s">
        <v>110</v>
      </c>
      <c r="E119">
        <f>Datablad!$E$47</f>
        <v>0.95</v>
      </c>
      <c r="F119">
        <f>Datablad!$E$47</f>
        <v>0.95</v>
      </c>
      <c r="G119">
        <f>Datablad!$E$47</f>
        <v>0.95</v>
      </c>
      <c r="H119">
        <f>Datablad!$E$47</f>
        <v>0.95</v>
      </c>
      <c r="I119">
        <f>Datablad!$E$47</f>
        <v>0.95</v>
      </c>
      <c r="J119">
        <f>Datablad!$E$47</f>
        <v>0.95</v>
      </c>
      <c r="K119">
        <f>Datablad!$E$47</f>
        <v>0.95</v>
      </c>
      <c r="L119">
        <f>Datablad!$E$47</f>
        <v>0.95</v>
      </c>
      <c r="M119">
        <f>Datablad!$E$47</f>
        <v>0.95</v>
      </c>
      <c r="N119">
        <f>Datablad!$E$47</f>
        <v>0.95</v>
      </c>
      <c r="O119">
        <f>Datablad!$E$47</f>
        <v>0.95</v>
      </c>
      <c r="P119">
        <f>Datablad!$E$47</f>
        <v>0.95</v>
      </c>
      <c r="Q119" t="s">
        <v>304</v>
      </c>
    </row>
    <row r="120" spans="3:64" x14ac:dyDescent="0.3">
      <c r="C120" t="s">
        <v>111</v>
      </c>
      <c r="E120">
        <f>Datablad!$E$33</f>
        <v>1</v>
      </c>
      <c r="F120">
        <f>Datablad!$E$33</f>
        <v>1</v>
      </c>
      <c r="G120">
        <f>Datablad!$E$33</f>
        <v>1</v>
      </c>
      <c r="H120">
        <f>Datablad!$E$33</f>
        <v>1</v>
      </c>
      <c r="I120">
        <f>Datablad!$E$33</f>
        <v>1</v>
      </c>
      <c r="J120">
        <f>Datablad!$E$33</f>
        <v>1</v>
      </c>
      <c r="K120">
        <f>Datablad!$E$33</f>
        <v>1</v>
      </c>
      <c r="L120">
        <f>Datablad!$E$33</f>
        <v>1</v>
      </c>
      <c r="M120">
        <f>Datablad!$E$33</f>
        <v>1</v>
      </c>
      <c r="N120">
        <f>Datablad!$E$33</f>
        <v>1</v>
      </c>
      <c r="O120">
        <f>Datablad!$E$33</f>
        <v>1</v>
      </c>
      <c r="P120">
        <f>Datablad!$E$33</f>
        <v>1</v>
      </c>
      <c r="Q120" t="s">
        <v>193</v>
      </c>
    </row>
    <row r="121" spans="3:64" x14ac:dyDescent="0.3">
      <c r="C121" t="s">
        <v>113</v>
      </c>
      <c r="E121">
        <f ca="1">AW123</f>
        <v>28</v>
      </c>
      <c r="F121">
        <f t="shared" ref="F121" ca="1" si="45">AX123</f>
        <v>49.3</v>
      </c>
      <c r="G121">
        <f t="shared" ref="G121" ca="1" si="46">AY123</f>
        <v>96.6</v>
      </c>
      <c r="H121">
        <f t="shared" ref="H121" ca="1" si="47">AZ123</f>
        <v>160.5</v>
      </c>
      <c r="I121">
        <f t="shared" ref="I121" ca="1" si="48">BA123</f>
        <v>197</v>
      </c>
      <c r="J121">
        <f t="shared" ref="J121" ca="1" si="49">BB123</f>
        <v>209.3</v>
      </c>
      <c r="K121">
        <f t="shared" ref="K121" ca="1" si="50">BC123</f>
        <v>191</v>
      </c>
      <c r="L121">
        <f t="shared" ref="L121" ca="1" si="51">BD123</f>
        <v>177.2</v>
      </c>
      <c r="M121">
        <f t="shared" ref="M121" ca="1" si="52">BE123</f>
        <v>123.9</v>
      </c>
      <c r="N121">
        <f t="shared" ref="N121" ca="1" si="53">BF123</f>
        <v>73.2</v>
      </c>
      <c r="O121">
        <f t="shared" ref="O121" ca="1" si="54">BG123</f>
        <v>34.299999999999997</v>
      </c>
      <c r="P121">
        <f t="shared" ref="P121" ca="1" si="55">BH123</f>
        <v>21</v>
      </c>
      <c r="Q121" t="s">
        <v>139</v>
      </c>
    </row>
    <row r="122" spans="3:64" x14ac:dyDescent="0.3">
      <c r="C122" t="s">
        <v>84</v>
      </c>
      <c r="D122">
        <f>Datablad!$E$65</f>
        <v>8760</v>
      </c>
      <c r="E122">
        <f>Datablad!$E$53</f>
        <v>744</v>
      </c>
      <c r="F122">
        <f>Datablad!$E$54</f>
        <v>672</v>
      </c>
      <c r="G122">
        <f>Datablad!$E$55</f>
        <v>744</v>
      </c>
      <c r="H122">
        <f>Datablad!$E$56</f>
        <v>720</v>
      </c>
      <c r="I122">
        <f>Datablad!$E$57</f>
        <v>744</v>
      </c>
      <c r="J122">
        <f>Datablad!$E$58</f>
        <v>720</v>
      </c>
      <c r="K122">
        <f>Datablad!$E$59</f>
        <v>744</v>
      </c>
      <c r="L122">
        <f>Datablad!$E$60</f>
        <v>744</v>
      </c>
      <c r="M122">
        <f>Datablad!$E$61</f>
        <v>720</v>
      </c>
      <c r="N122">
        <f>Datablad!$E$62</f>
        <v>744</v>
      </c>
      <c r="O122">
        <f>Datablad!$E$63</f>
        <v>720</v>
      </c>
      <c r="P122">
        <f>Datablad!$E$64</f>
        <v>744</v>
      </c>
      <c r="Q122" t="s">
        <v>192</v>
      </c>
    </row>
    <row r="123" spans="3:64" x14ac:dyDescent="0.3">
      <c r="C123" t="s">
        <v>114</v>
      </c>
      <c r="E123">
        <f ca="1">P150</f>
        <v>0.55000000000000004</v>
      </c>
      <c r="F123">
        <f t="shared" ref="F123" ca="1" si="56">Q150</f>
        <v>0.57999999999999996</v>
      </c>
      <c r="G123">
        <f t="shared" ref="G123" ca="1" si="57">R150</f>
        <v>0.49</v>
      </c>
      <c r="H123">
        <f t="shared" ref="H123" ca="1" si="58">S150</f>
        <v>0.36</v>
      </c>
      <c r="I123">
        <f t="shared" ref="I123" ca="1" si="59">T150</f>
        <v>0.34</v>
      </c>
      <c r="J123">
        <f t="shared" ref="J123" ca="1" si="60">U150</f>
        <v>0.37</v>
      </c>
      <c r="K123">
        <f t="shared" ref="K123" ca="1" si="61">V150</f>
        <v>0.41</v>
      </c>
      <c r="L123">
        <f t="shared" ref="L123" ca="1" si="62">W150</f>
        <v>0.37</v>
      </c>
      <c r="M123">
        <f t="shared" ref="M123" ca="1" si="63">X150</f>
        <v>0.43</v>
      </c>
      <c r="N123">
        <f t="shared" ref="N123" ca="1" si="64">Y150</f>
        <v>0.48</v>
      </c>
      <c r="O123">
        <f t="shared" ref="O123" ca="1" si="65">Z150</f>
        <v>0.56000000000000005</v>
      </c>
      <c r="P123">
        <f t="shared" ref="P123" ca="1" si="66">AA150</f>
        <v>0.6</v>
      </c>
      <c r="Q123" t="s">
        <v>195</v>
      </c>
      <c r="AU123" t="s">
        <v>191</v>
      </c>
      <c r="AV123">
        <f ca="1">IF(N128&lt;30,1,IF(N128&lt;45,2,IF(N128&lt;60,3,IF(N128&lt;90,4,IF(N128&lt;135,5,IF(N128=180,7,6))))))</f>
        <v>1</v>
      </c>
      <c r="AW123" s="18">
        <f ca="1">VLOOKUP(AV123,AV128:BH134,AW125+1,FALSE)</f>
        <v>28</v>
      </c>
      <c r="AX123" s="18">
        <f ca="1">VLOOKUP(AV123,AV128:BH134,AX125+1,FALSE)</f>
        <v>49.3</v>
      </c>
      <c r="AY123" s="18">
        <f ca="1">VLOOKUP(AV123,AV128:BH134,AY125+1,FALSE)</f>
        <v>96.6</v>
      </c>
      <c r="AZ123" s="18">
        <f ca="1">VLOOKUP(AV123,AV128:BH134,AZ125+1,FALSE)</f>
        <v>160.5</v>
      </c>
      <c r="BA123" s="18">
        <f ca="1">VLOOKUP(AV123,AV128:BH134,BA125+1,FALSE)</f>
        <v>197</v>
      </c>
      <c r="BB123" s="18">
        <f ca="1">VLOOKUP(AV123,AV128:BH134,BB125+1,FALSE)</f>
        <v>209.3</v>
      </c>
      <c r="BC123" s="18">
        <f ca="1">VLOOKUP(AV123,AV128:BH134,BC125+1,FALSE)</f>
        <v>191</v>
      </c>
      <c r="BD123" s="18">
        <f ca="1">VLOOKUP(AV123,AV128:BH134,BD125+1,FALSE)</f>
        <v>177.2</v>
      </c>
      <c r="BE123" s="18">
        <f ca="1">VLOOKUP(AV123,AV128:BH134,BE125+1,FALSE)</f>
        <v>123.9</v>
      </c>
      <c r="BF123" s="18">
        <f ca="1">VLOOKUP(AV123,AV128:BH134,BF125+1,FALSE)</f>
        <v>73.2</v>
      </c>
      <c r="BG123" s="18">
        <f ca="1">VLOOKUP(AV123,AV128:BH134,BG125+1,FALSE)</f>
        <v>34.299999999999997</v>
      </c>
      <c r="BH123" s="18">
        <f ca="1">VLOOKUP(AV123,AV128:BH134,BH125+1,FALSE)</f>
        <v>21</v>
      </c>
    </row>
    <row r="124" spans="3:64" x14ac:dyDescent="0.3">
      <c r="I124" s="1" t="s">
        <v>229</v>
      </c>
      <c r="W124" s="4" t="s">
        <v>188</v>
      </c>
      <c r="AJ124" s="4" t="s">
        <v>189</v>
      </c>
      <c r="AW124" s="4" t="s">
        <v>190</v>
      </c>
    </row>
    <row r="125" spans="3:64" x14ac:dyDescent="0.3">
      <c r="W125" s="4">
        <v>1</v>
      </c>
      <c r="X125" s="4">
        <v>2</v>
      </c>
      <c r="Y125" s="4">
        <v>3</v>
      </c>
      <c r="Z125" s="4">
        <v>4</v>
      </c>
      <c r="AA125" s="4">
        <v>5</v>
      </c>
      <c r="AB125" s="4">
        <v>6</v>
      </c>
      <c r="AC125" s="4">
        <v>7</v>
      </c>
      <c r="AD125" s="4">
        <v>8</v>
      </c>
      <c r="AE125" s="4">
        <v>9</v>
      </c>
      <c r="AF125" s="4">
        <v>10</v>
      </c>
      <c r="AG125" s="4">
        <v>11</v>
      </c>
      <c r="AH125" s="4">
        <v>12</v>
      </c>
      <c r="AI125" s="10"/>
      <c r="AJ125" s="4">
        <v>1</v>
      </c>
      <c r="AK125" s="4">
        <v>2</v>
      </c>
      <c r="AL125" s="4">
        <v>3</v>
      </c>
      <c r="AM125" s="4">
        <v>4</v>
      </c>
      <c r="AN125" s="4">
        <v>5</v>
      </c>
      <c r="AO125" s="4">
        <v>6</v>
      </c>
      <c r="AP125" s="4">
        <v>7</v>
      </c>
      <c r="AQ125" s="4">
        <v>8</v>
      </c>
      <c r="AR125" s="4">
        <v>9</v>
      </c>
      <c r="AS125" s="4">
        <v>10</v>
      </c>
      <c r="AT125" s="4">
        <v>11</v>
      </c>
      <c r="AU125" s="4">
        <v>12</v>
      </c>
      <c r="AW125" s="4">
        <v>1</v>
      </c>
      <c r="AX125" s="4">
        <v>2</v>
      </c>
      <c r="AY125" s="4">
        <v>3</v>
      </c>
      <c r="AZ125" s="4">
        <v>4</v>
      </c>
      <c r="BA125" s="4">
        <v>5</v>
      </c>
      <c r="BB125" s="4">
        <v>6</v>
      </c>
      <c r="BC125" s="4">
        <v>7</v>
      </c>
      <c r="BD125" s="4">
        <v>8</v>
      </c>
      <c r="BE125" s="4">
        <v>9</v>
      </c>
      <c r="BF125" s="4">
        <v>10</v>
      </c>
      <c r="BG125" s="4">
        <v>11</v>
      </c>
      <c r="BH125" s="4">
        <v>12</v>
      </c>
    </row>
    <row r="126" spans="3:64" x14ac:dyDescent="0.3">
      <c r="L126" t="s">
        <v>366</v>
      </c>
      <c r="M126" t="s">
        <v>142</v>
      </c>
      <c r="N126" t="s">
        <v>174</v>
      </c>
      <c r="Q126" t="s">
        <v>173</v>
      </c>
      <c r="W126" s="12" t="s">
        <v>3</v>
      </c>
      <c r="X126" s="12" t="s">
        <v>4</v>
      </c>
      <c r="Y126" s="12" t="s">
        <v>5</v>
      </c>
      <c r="Z126" s="12" t="s">
        <v>6</v>
      </c>
      <c r="AA126" s="12" t="s">
        <v>7</v>
      </c>
      <c r="AB126" s="12" t="s">
        <v>8</v>
      </c>
      <c r="AC126" s="12" t="s">
        <v>9</v>
      </c>
      <c r="AD126" s="12" t="s">
        <v>10</v>
      </c>
      <c r="AE126" s="12" t="s">
        <v>11</v>
      </c>
      <c r="AF126" s="12" t="s">
        <v>12</v>
      </c>
      <c r="AG126" s="12" t="s">
        <v>13</v>
      </c>
      <c r="AH126" s="12" t="s">
        <v>14</v>
      </c>
      <c r="AI126" s="13"/>
      <c r="AJ126" s="12" t="s">
        <v>3</v>
      </c>
      <c r="AK126" s="12" t="s">
        <v>4</v>
      </c>
      <c r="AL126" s="12" t="s">
        <v>5</v>
      </c>
      <c r="AM126" s="12" t="s">
        <v>6</v>
      </c>
      <c r="AN126" s="12" t="s">
        <v>7</v>
      </c>
      <c r="AO126" s="12" t="s">
        <v>8</v>
      </c>
      <c r="AP126" s="12" t="s">
        <v>9</v>
      </c>
      <c r="AQ126" s="12" t="s">
        <v>10</v>
      </c>
      <c r="AR126" s="12" t="s">
        <v>11</v>
      </c>
      <c r="AS126" s="12" t="s">
        <v>12</v>
      </c>
      <c r="AT126" s="12" t="s">
        <v>13</v>
      </c>
      <c r="AU126" s="12" t="s">
        <v>14</v>
      </c>
      <c r="AW126" s="12" t="s">
        <v>3</v>
      </c>
      <c r="AX126" s="12" t="s">
        <v>4</v>
      </c>
      <c r="AY126" s="12" t="s">
        <v>5</v>
      </c>
      <c r="AZ126" s="12" t="s">
        <v>6</v>
      </c>
      <c r="BA126" s="12" t="s">
        <v>7</v>
      </c>
      <c r="BB126" s="12" t="s">
        <v>8</v>
      </c>
      <c r="BC126" s="12" t="s">
        <v>9</v>
      </c>
      <c r="BD126" s="12" t="s">
        <v>10</v>
      </c>
      <c r="BE126" s="12" t="s">
        <v>11</v>
      </c>
      <c r="BF126" s="12" t="s">
        <v>12</v>
      </c>
      <c r="BG126" s="12" t="s">
        <v>13</v>
      </c>
      <c r="BH126" s="12" t="s">
        <v>14</v>
      </c>
    </row>
    <row r="127" spans="3:64" x14ac:dyDescent="0.3">
      <c r="L127" t="s">
        <v>119</v>
      </c>
      <c r="N127" t="s">
        <v>119</v>
      </c>
      <c r="P127" t="s">
        <v>171</v>
      </c>
      <c r="Q127" t="s">
        <v>172</v>
      </c>
      <c r="R127" t="s">
        <v>175</v>
      </c>
      <c r="S127" t="s">
        <v>177</v>
      </c>
      <c r="T127" t="s">
        <v>178</v>
      </c>
      <c r="U127" t="s">
        <v>179</v>
      </c>
      <c r="V127" t="s">
        <v>179</v>
      </c>
      <c r="W127" s="4"/>
      <c r="X127" s="4"/>
      <c r="Y127" s="4"/>
      <c r="Z127" s="4"/>
      <c r="AA127" s="4"/>
      <c r="AB127" s="4"/>
      <c r="AC127" s="4"/>
      <c r="AD127" s="4"/>
      <c r="AE127" s="4"/>
      <c r="AF127" s="4"/>
      <c r="AG127" s="4"/>
      <c r="AH127" s="4"/>
      <c r="AI127" s="10"/>
      <c r="AJ127" s="4"/>
      <c r="AK127" s="4"/>
      <c r="AL127" s="4"/>
      <c r="AM127" s="4"/>
      <c r="AN127" s="4"/>
      <c r="AO127" s="4"/>
      <c r="AP127" s="4"/>
      <c r="AQ127" s="4"/>
      <c r="AR127" s="4"/>
      <c r="AS127" s="4"/>
      <c r="AT127" s="4"/>
      <c r="AU127" s="4"/>
      <c r="AW127" s="4"/>
      <c r="AX127" s="4"/>
      <c r="AY127" s="4"/>
      <c r="AZ127" s="4"/>
      <c r="BA127" s="4"/>
      <c r="BB127" s="4"/>
      <c r="BC127" s="4"/>
      <c r="BD127" s="4"/>
      <c r="BE127" s="4"/>
      <c r="BF127" s="4"/>
      <c r="BG127" s="4"/>
      <c r="BH127" s="4"/>
      <c r="BL127" t="s">
        <v>63</v>
      </c>
    </row>
    <row r="128" spans="3:64" x14ac:dyDescent="0.3">
      <c r="L128" s="16" t="str">
        <f>'Drop-down'!$AX$3</f>
        <v>nvt</v>
      </c>
      <c r="N128" s="14">
        <f ca="1">IF('Drop-down'!$BA$3="vul in",0,'Drop-down'!$BA$3)</f>
        <v>0</v>
      </c>
      <c r="P128">
        <v>0</v>
      </c>
      <c r="Q128">
        <v>1</v>
      </c>
      <c r="R128" t="str">
        <f ca="1">IF(N128=P128,"ja","nee")</f>
        <v>ja</v>
      </c>
      <c r="S128" t="str">
        <f ca="1">IF(AND(N128&gt;P128,N128&lt;P129),Q128,"n.v.t.")</f>
        <v>n.v.t.</v>
      </c>
      <c r="T128" t="str">
        <f t="shared" ref="T128:T134" ca="1" si="67">IF(S128="n.v.t.","n.v.t.",Q128+1)</f>
        <v>n.v.t.</v>
      </c>
      <c r="U128" t="str">
        <f ca="1">IF(S128="n.v.t.","n.v.t.",(P129-N128)/(P129-P128))</f>
        <v>n.v.t.</v>
      </c>
      <c r="V128" t="str">
        <f ca="1">IF(T128="n.v.t.","n.v.t.",(N128-P128)/(P129-P128))</f>
        <v>n.v.t.</v>
      </c>
      <c r="W128" s="4" cm="1">
        <f t="array" ref="W128">INDEX(Datablad!$E$70:$L$83,W125+2,M129)</f>
        <v>28</v>
      </c>
      <c r="X128" s="4" cm="1">
        <f t="array" ref="X128">INDEX(Datablad!$E$70:$L$83,X125+2,M129)</f>
        <v>49.3</v>
      </c>
      <c r="Y128" s="4" cm="1">
        <f t="array" ref="Y128">INDEX(Datablad!$E$70:$L$83,Y125+2,M129)</f>
        <v>96.6</v>
      </c>
      <c r="Z128" s="4" cm="1">
        <f t="array" ref="Z128">INDEX(Datablad!$E$70:$L$83,Z125+2,M129)</f>
        <v>160.5</v>
      </c>
      <c r="AA128" s="4" cm="1">
        <f t="array" ref="AA128">INDEX(Datablad!$E$70:$L$83,AA125+2,M129)</f>
        <v>197</v>
      </c>
      <c r="AB128" s="4" cm="1">
        <f t="array" ref="AB128">INDEX(Datablad!$E$70:$L$83,AB125+2,M129)</f>
        <v>209.3</v>
      </c>
      <c r="AC128" s="4" cm="1">
        <f t="array" ref="AC128">INDEX(Datablad!$E$70:$L$83,AC125+2,M129)</f>
        <v>191</v>
      </c>
      <c r="AD128" s="4" cm="1">
        <f t="array" ref="AD128">INDEX(Datablad!$E$70:$L$83,AD125+2,M129)</f>
        <v>177.2</v>
      </c>
      <c r="AE128" s="4" cm="1">
        <f t="array" ref="AE128">INDEX(Datablad!$E$70:$L$83,AE125+2,M129)</f>
        <v>123.9</v>
      </c>
      <c r="AF128" s="4" cm="1">
        <f t="array" ref="AF128">INDEX(Datablad!$E$70:$L$83,AF125+2,M129)</f>
        <v>73.2</v>
      </c>
      <c r="AG128" s="4" cm="1">
        <f t="array" ref="AG128">INDEX(Datablad!$E$70:$L$83,AG125+2,M129)</f>
        <v>34.299999999999997</v>
      </c>
      <c r="AH128" s="4" cm="1">
        <f t="array" ref="AH128">INDEX(Datablad!$E$70:$L$83,AH125+2,M129)</f>
        <v>21</v>
      </c>
      <c r="AI128" s="10"/>
      <c r="AJ128" s="4" cm="1">
        <f t="array" ref="AJ128">INDEX(Datablad!$N$70:$U$83,AJ125+2,M129)</f>
        <v>14.9</v>
      </c>
      <c r="AK128" s="4" cm="1">
        <f t="array" ref="AK128">INDEX(Datablad!$N$70:$U$83,AK125+2,M129)</f>
        <v>27.2</v>
      </c>
      <c r="AL128" s="4" cm="1">
        <f t="array" ref="AL128">INDEX(Datablad!$N$70:$U$83,AL125+2,M129)</f>
        <v>56.4</v>
      </c>
      <c r="AM128" s="4" cm="1">
        <f t="array" ref="AM128">INDEX(Datablad!$N$70:$U$83,AM125+2,M129)</f>
        <v>104.6</v>
      </c>
      <c r="AN128" s="4" cm="1">
        <f t="array" ref="AN128">INDEX(Datablad!$N$70:$U$83,AN125+2,M129)</f>
        <v>148.5</v>
      </c>
      <c r="AO128" s="4" cm="1">
        <f t="array" ref="AO128">INDEX(Datablad!$N$70:$U$83,AO125+2,M129)</f>
        <v>171</v>
      </c>
      <c r="AP128" s="4" cm="1">
        <f t="array" ref="AP128">INDEX(Datablad!$N$70:$U$83,AP125+2,M129)</f>
        <v>153</v>
      </c>
      <c r="AQ128" s="4" cm="1">
        <f t="array" ref="AQ128">INDEX(Datablad!$N$70:$U$83,AQ125+2,M129)</f>
        <v>125.8</v>
      </c>
      <c r="AR128" s="4" cm="1">
        <f t="array" ref="AR128">INDEX(Datablad!$N$70:$U$83,AR125+2,M129)</f>
        <v>73.7</v>
      </c>
      <c r="AS128" s="4" cm="1">
        <f t="array" ref="AS128">INDEX(Datablad!$N$70:$U$83,AS125+2,M129)</f>
        <v>36.299999999999997</v>
      </c>
      <c r="AT128" s="4" cm="1">
        <f t="array" ref="AT128">INDEX(Datablad!$N$70:$U$83,AT125+2,M129)</f>
        <v>18.600000000000001</v>
      </c>
      <c r="AU128" s="4" cm="1">
        <f t="array" ref="AU128">INDEX(Datablad!$N$70:$U$83,AU125+2,M129)</f>
        <v>12.2</v>
      </c>
      <c r="AV128">
        <v>1</v>
      </c>
      <c r="AW128" s="4">
        <f t="shared" ref="AW128:AW134" ca="1" si="68">IF(R128="ja",W128,IF(S128="n.v.t.","n.v.t.",U128*W128+V128*AJ128))</f>
        <v>28</v>
      </c>
      <c r="AX128" s="4">
        <f t="shared" ref="AX128:AX134" ca="1" si="69">IF(R128="ja",X128,IF(S128="n.v.t.","n.v.t.",U128*X128+V128*AK128))</f>
        <v>49.3</v>
      </c>
      <c r="AY128" s="4">
        <f t="shared" ref="AY128:AY134" ca="1" si="70">IF(R128="ja",Y128,IF(S128="n.v.t.","n.v.t.",U128*Y128+V128*AL128))</f>
        <v>96.6</v>
      </c>
      <c r="AZ128" s="4">
        <f t="shared" ref="AZ128:AZ134" ca="1" si="71">IF(R128="ja",Z128,IF(S128="n.v.t.","n.v.t.",U128*Z128+V128*AM128))</f>
        <v>160.5</v>
      </c>
      <c r="BA128" s="4">
        <f t="shared" ref="BA128:BA134" ca="1" si="72">IF(R128="ja",AA128,IF(S128="n.v.t.","n.v.t.",U128*AA128+V128*AN128))</f>
        <v>197</v>
      </c>
      <c r="BB128" s="4">
        <f t="shared" ref="BB128:BB134" ca="1" si="73">IF(R128="ja",AB128,IF(S128="n.v.t.","n.v.t.",U128*AB128+V128*AO128))</f>
        <v>209.3</v>
      </c>
      <c r="BC128" s="4">
        <f t="shared" ref="BC128:BC134" ca="1" si="74">IF(R128="ja",AC128,IF(S128="n.v.t.","n.v.t.",U128*AC128+V128*AP128))</f>
        <v>191</v>
      </c>
      <c r="BD128" s="4">
        <f t="shared" ref="BD128:BD134" ca="1" si="75">IF(R128="ja",AD128,IF(S128="n.v.t.","n.v.t.",U128*AD128+V128*AQ128))</f>
        <v>177.2</v>
      </c>
      <c r="BE128" s="4">
        <f t="shared" ref="BE128:BE134" ca="1" si="76">IF(R128="ja",AE128,IF(S128="n.v.t.","n.v.t.",U128*AE128+V128*AR128))</f>
        <v>123.9</v>
      </c>
      <c r="BF128" s="4">
        <f t="shared" ref="BF128:BF134" ca="1" si="77">IF(R128="ja",AF128,IF(S128="n.v.t.","n.v.t.",U128*AF128+V128*AS128))</f>
        <v>73.2</v>
      </c>
      <c r="BG128" s="4">
        <f t="shared" ref="BG128:BG134" ca="1" si="78">IF(R128="ja",AG128,IF(S128="n.v.t.","n.v.t.",U128*AG128+V128*AT128))</f>
        <v>34.299999999999997</v>
      </c>
      <c r="BH128" s="4">
        <f t="shared" ref="BH128:BH134" ca="1" si="79">IF(R128="ja",AH128,IF(S128="n.v.t.","n.v.t.",U128*AH128+V128*AU128))</f>
        <v>21</v>
      </c>
    </row>
    <row r="129" spans="9:64" x14ac:dyDescent="0.3">
      <c r="L129" t="s">
        <v>187</v>
      </c>
      <c r="M129" s="58">
        <f>IF(L128="nvt",1,VLOOKUP(L128,K132:M140,3,FALSE))</f>
        <v>1</v>
      </c>
      <c r="P129">
        <v>30</v>
      </c>
      <c r="Q129">
        <v>2</v>
      </c>
      <c r="R129" t="str">
        <f ca="1">IF(N128=P129,"ja","nee")</f>
        <v>nee</v>
      </c>
      <c r="S129" t="str">
        <f ca="1">IF(AND(N128&gt;P129,N128&lt;P130),Q129,"n.v.t.")</f>
        <v>n.v.t.</v>
      </c>
      <c r="T129" t="str">
        <f t="shared" ca="1" si="67"/>
        <v>n.v.t.</v>
      </c>
      <c r="U129" t="str">
        <f ca="1">IF(S129="n.v.t.","n.v.t.",(P130-N128)/(P130-P129))</f>
        <v>n.v.t.</v>
      </c>
      <c r="V129" t="str">
        <f ca="1">IF(T129="n.v.t.","n.v.t.",(N128-P129)/(P130-P129))</f>
        <v>n.v.t.</v>
      </c>
      <c r="W129" s="4" cm="1">
        <f t="array" ref="W129">INDEX(Datablad!$N$70:$U$83,W125+2,M129)</f>
        <v>14.9</v>
      </c>
      <c r="X129" s="4" cm="1">
        <f t="array" ref="X129">INDEX(Datablad!$N$70:$U$83,X125+2,M129)</f>
        <v>27.2</v>
      </c>
      <c r="Y129" s="4" cm="1">
        <f t="array" ref="Y129">INDEX(Datablad!$N$70:$U$83,Y125+2,M129)</f>
        <v>56.4</v>
      </c>
      <c r="Z129" s="4" cm="1">
        <f t="array" ref="Z129">INDEX(Datablad!$N$70:$U$83,Z125+2,M129)</f>
        <v>104.6</v>
      </c>
      <c r="AA129" s="4" cm="1">
        <f t="array" ref="AA129">INDEX(Datablad!$N$70:$U$83,AA125+2,M129)</f>
        <v>148.5</v>
      </c>
      <c r="AB129" s="4" cm="1">
        <f t="array" ref="AB129">INDEX(Datablad!$N$70:$U$83,AB125+2,M129)</f>
        <v>171</v>
      </c>
      <c r="AC129" s="4" cm="1">
        <f t="array" ref="AC129">INDEX(Datablad!$N$70:$U$83,AC125+2,M129)</f>
        <v>153</v>
      </c>
      <c r="AD129" s="4" cm="1">
        <f t="array" ref="AD129">INDEX(Datablad!$N$70:$U$83,AD125+2,M129)</f>
        <v>125.8</v>
      </c>
      <c r="AE129" s="4" cm="1">
        <f t="array" ref="AE129">INDEX(Datablad!$N$70:$U$83,AE125+2,M129)</f>
        <v>73.7</v>
      </c>
      <c r="AF129" s="4" cm="1">
        <f t="array" ref="AF129">INDEX(Datablad!$N$70:$U$83,AF125+2,M129)</f>
        <v>36.299999999999997</v>
      </c>
      <c r="AG129" s="4" cm="1">
        <f t="array" ref="AG129">INDEX(Datablad!$N$70:$U$83,AG125+2,M129)</f>
        <v>18.600000000000001</v>
      </c>
      <c r="AH129" s="4" cm="1">
        <f t="array" ref="AH129">INDEX(Datablad!$N$70:$U$83,AH125+2,M129)</f>
        <v>12.2</v>
      </c>
      <c r="AI129" s="10"/>
      <c r="AJ129" s="4" cm="1">
        <f t="array" ref="AJ129">INDEX(Datablad!$W$70:$AD$83,AJ125+2,M129)</f>
        <v>14.3</v>
      </c>
      <c r="AK129" s="4" cm="1">
        <f t="array" ref="AK129">INDEX(Datablad!$W$70:$AD$83,AK125+2,M129)</f>
        <v>25.9</v>
      </c>
      <c r="AL129" s="4" cm="1">
        <f t="array" ref="AL129">INDEX(Datablad!$W$70:$AD$83,AL125+2,M129)</f>
        <v>44.3</v>
      </c>
      <c r="AM129" s="4" cm="1">
        <f t="array" ref="AM129">INDEX(Datablad!$W$70:$AD$83,AM125+2,M129)</f>
        <v>70</v>
      </c>
      <c r="AN129" s="4" cm="1">
        <f t="array" ref="AN129">INDEX(Datablad!$W$70:$AD$83,AN125+2,M129)</f>
        <v>113.6</v>
      </c>
      <c r="AO129" s="4" cm="1">
        <f t="array" ref="AO129">INDEX(Datablad!$W$70:$AD$83,AO125+2,M129)</f>
        <v>139.6</v>
      </c>
      <c r="AP129" s="4" cm="1">
        <f t="array" ref="AP129">INDEX(Datablad!$W$70:$AD$83,AP125+2,M129)</f>
        <v>123.5</v>
      </c>
      <c r="AQ129" s="4" cm="1">
        <f t="array" ref="AQ129">INDEX(Datablad!$W$70:$AD$83,AQ125+2,M129)</f>
        <v>91.5</v>
      </c>
      <c r="AR129" s="4" cm="1">
        <f t="array" ref="AR129">INDEX(Datablad!$W$70:$AD$83,AR125+2,M129)</f>
        <v>52.9</v>
      </c>
      <c r="AS129" s="4" cm="1">
        <f t="array" ref="AS129">INDEX(Datablad!$W$70:$AD$83,AS125+2,M129)</f>
        <v>33.5</v>
      </c>
      <c r="AT129" s="4" cm="1">
        <f t="array" ref="AT129">INDEX(Datablad!$W$70:$AD$83,AT125+2,M129)</f>
        <v>17.8</v>
      </c>
      <c r="AU129" s="4" cm="1">
        <f t="array" ref="AU129">INDEX(Datablad!$W$70:$AD$83,AU125+2,M129)</f>
        <v>11.7</v>
      </c>
      <c r="AV129">
        <v>2</v>
      </c>
      <c r="AW129" s="4" t="str">
        <f t="shared" ca="1" si="68"/>
        <v>n.v.t.</v>
      </c>
      <c r="AX129" s="4" t="str">
        <f t="shared" ca="1" si="69"/>
        <v>n.v.t.</v>
      </c>
      <c r="AY129" s="4" t="str">
        <f t="shared" ca="1" si="70"/>
        <v>n.v.t.</v>
      </c>
      <c r="AZ129" s="4" t="str">
        <f t="shared" ca="1" si="71"/>
        <v>n.v.t.</v>
      </c>
      <c r="BA129" s="4" t="str">
        <f t="shared" ca="1" si="72"/>
        <v>n.v.t.</v>
      </c>
      <c r="BB129" s="4" t="str">
        <f t="shared" ca="1" si="73"/>
        <v>n.v.t.</v>
      </c>
      <c r="BC129" s="4" t="str">
        <f t="shared" ca="1" si="74"/>
        <v>n.v.t.</v>
      </c>
      <c r="BD129" s="4" t="str">
        <f t="shared" ca="1" si="75"/>
        <v>n.v.t.</v>
      </c>
      <c r="BE129" s="4" t="str">
        <f t="shared" ca="1" si="76"/>
        <v>n.v.t.</v>
      </c>
      <c r="BF129" s="4" t="str">
        <f t="shared" ca="1" si="77"/>
        <v>n.v.t.</v>
      </c>
      <c r="BG129" s="4" t="str">
        <f t="shared" ca="1" si="78"/>
        <v>n.v.t.</v>
      </c>
      <c r="BH129" s="4" t="str">
        <f t="shared" ca="1" si="79"/>
        <v>n.v.t.</v>
      </c>
      <c r="BL129" t="s">
        <v>65</v>
      </c>
    </row>
    <row r="130" spans="9:64" x14ac:dyDescent="0.3">
      <c r="M130" s="58" t="str">
        <f>IF(L128="nvt","ho",VLOOKUP(L128,K132:M140,2,FALSE))</f>
        <v>ho</v>
      </c>
      <c r="P130">
        <v>45</v>
      </c>
      <c r="Q130">
        <v>3</v>
      </c>
      <c r="R130" t="str">
        <f ca="1">IF(N128=P130,"ja","nee")</f>
        <v>nee</v>
      </c>
      <c r="S130" t="str">
        <f ca="1">IF(AND(N128&gt;P130,N128&lt;P131),Q130,"n.v.t.")</f>
        <v>n.v.t.</v>
      </c>
      <c r="T130" t="str">
        <f t="shared" ca="1" si="67"/>
        <v>n.v.t.</v>
      </c>
      <c r="U130" t="str">
        <f ca="1">IF(S130="n.v.t.","n.v.t.",(P131-N128)/(P131-P130))</f>
        <v>n.v.t.</v>
      </c>
      <c r="V130" t="str">
        <f ca="1">IF(T130="n.v.t.","n.v.t.",(N128-P130)/(P131-P130))</f>
        <v>n.v.t.</v>
      </c>
      <c r="W130" s="4" cm="1">
        <f t="array" ref="W130">INDEX(Datablad!$W$70:$AD$83,W125+2,M129)</f>
        <v>14.3</v>
      </c>
      <c r="X130" s="4" cm="1">
        <f t="array" ref="X130">INDEX(Datablad!$W$70:$AD$83,X125+2,M129)</f>
        <v>25.9</v>
      </c>
      <c r="Y130" s="4" cm="1">
        <f t="array" ref="Y130">INDEX(Datablad!$W$70:$AD$83,Y125+2,M129)</f>
        <v>44.3</v>
      </c>
      <c r="Z130" s="4" cm="1">
        <f t="array" ref="Z130">INDEX(Datablad!$W$70:$AD$83,Z125+2,M129)</f>
        <v>70</v>
      </c>
      <c r="AA130" s="4" cm="1">
        <f t="array" ref="AA130">INDEX(Datablad!$W$70:$AD$83,AA125+2,M129)</f>
        <v>113.6</v>
      </c>
      <c r="AB130" s="4" cm="1">
        <f t="array" ref="AB130">INDEX(Datablad!$W$70:$AD$83,AB125+2,M129)</f>
        <v>139.6</v>
      </c>
      <c r="AC130" s="4" cm="1">
        <f t="array" ref="AC130">INDEX(Datablad!$W$70:$AD$83,AC125+2,M129)</f>
        <v>123.5</v>
      </c>
      <c r="AD130" s="4" cm="1">
        <f t="array" ref="AD130">INDEX(Datablad!$W$70:$AD$83,AD125+2,M129)</f>
        <v>91.5</v>
      </c>
      <c r="AE130" s="4" cm="1">
        <f t="array" ref="AE130">INDEX(Datablad!$W$70:$AD$83,AE125+2,M129)</f>
        <v>52.9</v>
      </c>
      <c r="AF130" s="4" cm="1">
        <f t="array" ref="AF130">INDEX(Datablad!$W$70:$AD$83,AF125+2,M129)</f>
        <v>33.5</v>
      </c>
      <c r="AG130" s="4" cm="1">
        <f t="array" ref="AG130">INDEX(Datablad!$W$70:$AD$83,AG125+2,M129)</f>
        <v>17.8</v>
      </c>
      <c r="AH130" s="4" cm="1">
        <f t="array" ref="AH130">INDEX(Datablad!$W$70:$AD$83,AH125+2,M129)</f>
        <v>11.7</v>
      </c>
      <c r="AI130" s="10"/>
      <c r="AJ130" s="4" cm="1">
        <f t="array" ref="AJ130">INDEX(Datablad!$AF$70:$AM$83,AJ125+2,M129)</f>
        <v>13.4</v>
      </c>
      <c r="AK130" s="4" cm="1">
        <f t="array" ref="AK130">INDEX(Datablad!$AF$70:$AM$83,AK125+2,M129)</f>
        <v>24.1</v>
      </c>
      <c r="AL130" s="4" cm="1">
        <f t="array" ref="AL130">INDEX(Datablad!$AF$70:$AM$83,AL125+2,M129)</f>
        <v>41.5</v>
      </c>
      <c r="AM130" s="4" cm="1">
        <f t="array" ref="AM130">INDEX(Datablad!$AF$70:$AM$83,AM125+2,M129)</f>
        <v>57.8</v>
      </c>
      <c r="AN130" s="4" cm="1">
        <f t="array" ref="AN130">INDEX(Datablad!$AF$70:$AM$83,AN125+2,M129)</f>
        <v>78.5</v>
      </c>
      <c r="AO130" s="4" cm="1">
        <f t="array" ref="AO130">INDEX(Datablad!$AF$70:$AM$83,AO125+2,M129)</f>
        <v>102.9</v>
      </c>
      <c r="AP130" s="4" cm="1">
        <f t="array" ref="AP130">INDEX(Datablad!$AF$70:$AM$83,AP125+2,M129)</f>
        <v>90.4</v>
      </c>
      <c r="AQ130" s="4" cm="1">
        <f t="array" ref="AQ130">INDEX(Datablad!$AF$70:$AM$83,AQ125+2,M129)</f>
        <v>68</v>
      </c>
      <c r="AR130" s="4" cm="1">
        <f t="array" ref="AR130">INDEX(Datablad!$AF$70:$AM$83,AR125+2,M129)</f>
        <v>48.6</v>
      </c>
      <c r="AS130" s="4" cm="1">
        <f t="array" ref="AS130">INDEX(Datablad!$AF$70:$AM$83,AS125+2,M129)</f>
        <v>31.5</v>
      </c>
      <c r="AT130" s="4" cm="1">
        <f t="array" ref="AT130">INDEX(Datablad!$AF$70:$AM$83,AT125+2,M129)</f>
        <v>16.600000000000001</v>
      </c>
      <c r="AU130" s="4" cm="1">
        <f t="array" ref="AU130">INDEX(Datablad!$AF$70:$AM$83,AU125+2,M129)</f>
        <v>10.9</v>
      </c>
      <c r="AV130">
        <v>3</v>
      </c>
      <c r="AW130" s="4" t="str">
        <f t="shared" ca="1" si="68"/>
        <v>n.v.t.</v>
      </c>
      <c r="AX130" s="4" t="str">
        <f t="shared" ca="1" si="69"/>
        <v>n.v.t.</v>
      </c>
      <c r="AY130" s="4" t="str">
        <f t="shared" ca="1" si="70"/>
        <v>n.v.t.</v>
      </c>
      <c r="AZ130" s="4" t="str">
        <f t="shared" ca="1" si="71"/>
        <v>n.v.t.</v>
      </c>
      <c r="BA130" s="4" t="str">
        <f t="shared" ca="1" si="72"/>
        <v>n.v.t.</v>
      </c>
      <c r="BB130" s="4" t="str">
        <f t="shared" ca="1" si="73"/>
        <v>n.v.t.</v>
      </c>
      <c r="BC130" s="4" t="str">
        <f t="shared" ca="1" si="74"/>
        <v>n.v.t.</v>
      </c>
      <c r="BD130" s="4" t="str">
        <f t="shared" ca="1" si="75"/>
        <v>n.v.t.</v>
      </c>
      <c r="BE130" s="4" t="str">
        <f t="shared" ca="1" si="76"/>
        <v>n.v.t.</v>
      </c>
      <c r="BF130" s="4" t="str">
        <f t="shared" ca="1" si="77"/>
        <v>n.v.t.</v>
      </c>
      <c r="BG130" s="4" t="str">
        <f t="shared" ca="1" si="78"/>
        <v>n.v.t.</v>
      </c>
      <c r="BH130" s="4" t="str">
        <f t="shared" ca="1" si="79"/>
        <v>n.v.t.</v>
      </c>
    </row>
    <row r="131" spans="9:64" x14ac:dyDescent="0.3">
      <c r="K131" t="s">
        <v>366</v>
      </c>
      <c r="L131" t="s">
        <v>367</v>
      </c>
      <c r="M131" t="s">
        <v>370</v>
      </c>
      <c r="P131">
        <v>60</v>
      </c>
      <c r="Q131">
        <v>4</v>
      </c>
      <c r="R131" t="str">
        <f ca="1">IF(N128=P131,"ja","nee")</f>
        <v>nee</v>
      </c>
      <c r="S131" t="str">
        <f ca="1">IF(AND(N128&gt;P131,N128&lt;P132),Q131,"n.v.t.")</f>
        <v>n.v.t.</v>
      </c>
      <c r="T131" t="str">
        <f t="shared" ca="1" si="67"/>
        <v>n.v.t.</v>
      </c>
      <c r="U131" t="str">
        <f ca="1">IF(S131="n.v.t.","n.v.t.",(P132-N128)/(P132-P131))</f>
        <v>n.v.t.</v>
      </c>
      <c r="V131" t="str">
        <f ca="1">IF(T131="n.v.t.","n.v.t.",(N128-P131)/(P132-P131))</f>
        <v>n.v.t.</v>
      </c>
      <c r="W131" s="4" cm="1">
        <f t="array" ref="W131">INDEX(Datablad!$AF$70:$AM$83,W125+2,M129)</f>
        <v>13.4</v>
      </c>
      <c r="X131" s="4" cm="1">
        <f t="array" ref="X131">INDEX(Datablad!$AF$70:$AM$83,X125+2,M129)</f>
        <v>24.1</v>
      </c>
      <c r="Y131" s="4" cm="1">
        <f t="array" ref="Y131">INDEX(Datablad!$AF$70:$AM$83,Y125+2,M129)</f>
        <v>41.5</v>
      </c>
      <c r="Z131" s="4" cm="1">
        <f t="array" ref="Z131">INDEX(Datablad!$AF$70:$AM$83,Z125+2,M129)</f>
        <v>57.8</v>
      </c>
      <c r="AA131" s="4" cm="1">
        <f t="array" ref="AA131">INDEX(Datablad!$AF$70:$AM$83,AA125+2,M129)</f>
        <v>78.5</v>
      </c>
      <c r="AB131" s="4" cm="1">
        <f t="array" ref="AB131">INDEX(Datablad!$AF$70:$AM$83,AB125+2,M129)</f>
        <v>102.9</v>
      </c>
      <c r="AC131" s="4" cm="1">
        <f t="array" ref="AC131">INDEX(Datablad!$AF$70:$AM$83,AC125+2,M129)</f>
        <v>90.4</v>
      </c>
      <c r="AD131" s="4" cm="1">
        <f t="array" ref="AD131">INDEX(Datablad!$AF$70:$AM$83,AD125+2,M129)</f>
        <v>68</v>
      </c>
      <c r="AE131" s="4" cm="1">
        <f t="array" ref="AE131">INDEX(Datablad!$AF$70:$AM$83,AE125+2,M129)</f>
        <v>48.6</v>
      </c>
      <c r="AF131" s="4" cm="1">
        <f t="array" ref="AF131">INDEX(Datablad!$AF$70:$AM$83,AF125+2,M129)</f>
        <v>31.5</v>
      </c>
      <c r="AG131" s="4" cm="1">
        <f t="array" ref="AG131">INDEX(Datablad!$AF$70:$AM$83,AG125+2,M129)</f>
        <v>16.600000000000001</v>
      </c>
      <c r="AH131" s="4" cm="1">
        <f t="array" ref="AH131">INDEX(Datablad!$AF$70:$AM$83,AH125+2,M129)</f>
        <v>10.9</v>
      </c>
      <c r="AI131" s="10"/>
      <c r="AJ131" s="4" cm="1">
        <f t="array" ref="AJ131">INDEX(Datablad!$AO$70:$AV$83,AJ125+2,M129)</f>
        <v>11.1</v>
      </c>
      <c r="AK131" s="4" cm="1">
        <f t="array" ref="AK131">INDEX(Datablad!$AO$70:$AV$83,AK125+2,M129)</f>
        <v>19.5</v>
      </c>
      <c r="AL131" s="4" cm="1">
        <f t="array" ref="AL131">INDEX(Datablad!$AO$70:$AV$83,AL125+2,M129)</f>
        <v>34.799999999999997</v>
      </c>
      <c r="AM131" s="4" cm="1">
        <f t="array" ref="AM131">INDEX(Datablad!$AO$70:$AV$83,AM125+2,M129)</f>
        <v>49.4</v>
      </c>
      <c r="AN131" s="4" cm="1">
        <f t="array" ref="AN131">INDEX(Datablad!$AO$70:$AV$83,AN125+2,M129)</f>
        <v>61.9</v>
      </c>
      <c r="AO131" s="4" cm="1">
        <f t="array" ref="AO131">INDEX(Datablad!$AO$70:$AV$83,AO125+2,M129)</f>
        <v>73</v>
      </c>
      <c r="AP131" s="4" cm="1">
        <f t="array" ref="AP131">INDEX(Datablad!$AO$70:$AV$83,AP125+2,M129)</f>
        <v>66.7</v>
      </c>
      <c r="AQ131" s="4" cm="1">
        <f t="array" ref="AQ131">INDEX(Datablad!$AO$70:$AV$83,AQ125+2,M129)</f>
        <v>55.9</v>
      </c>
      <c r="AR131" s="4" cm="1">
        <f t="array" ref="AR131">INDEX(Datablad!$AO$70:$AV$83,AR125+2,M129)</f>
        <v>41.4</v>
      </c>
      <c r="AS131" s="4" cm="1">
        <f t="array" ref="AS131">INDEX(Datablad!$AO$70:$AV$83,AS125+2,M129)</f>
        <v>26.4</v>
      </c>
      <c r="AT131" s="4" cm="1">
        <f t="array" ref="AT131">INDEX(Datablad!$AO$70:$AV$83,AT125+2,M129)</f>
        <v>13.6</v>
      </c>
      <c r="AU131" s="4" cm="1">
        <f t="array" ref="AU131">INDEX(Datablad!$AO$70:$AV$83,AU125+2,M129)</f>
        <v>8.9</v>
      </c>
      <c r="AV131">
        <v>4</v>
      </c>
      <c r="AW131" s="4" t="str">
        <f t="shared" ca="1" si="68"/>
        <v>n.v.t.</v>
      </c>
      <c r="AX131" s="4" t="str">
        <f t="shared" ca="1" si="69"/>
        <v>n.v.t.</v>
      </c>
      <c r="AY131" s="4" t="str">
        <f t="shared" ca="1" si="70"/>
        <v>n.v.t.</v>
      </c>
      <c r="AZ131" s="4" t="str">
        <f t="shared" ca="1" si="71"/>
        <v>n.v.t.</v>
      </c>
      <c r="BA131" s="4" t="str">
        <f t="shared" ca="1" si="72"/>
        <v>n.v.t.</v>
      </c>
      <c r="BB131" s="4" t="str">
        <f t="shared" ca="1" si="73"/>
        <v>n.v.t.</v>
      </c>
      <c r="BC131" s="4" t="str">
        <f t="shared" ca="1" si="74"/>
        <v>n.v.t.</v>
      </c>
      <c r="BD131" s="4" t="str">
        <f t="shared" ca="1" si="75"/>
        <v>n.v.t.</v>
      </c>
      <c r="BE131" s="4" t="str">
        <f t="shared" ca="1" si="76"/>
        <v>n.v.t.</v>
      </c>
      <c r="BF131" s="4" t="str">
        <f t="shared" ca="1" si="77"/>
        <v>n.v.t.</v>
      </c>
      <c r="BG131" s="4" t="str">
        <f t="shared" ca="1" si="78"/>
        <v>n.v.t.</v>
      </c>
      <c r="BH131" s="4" t="str">
        <f t="shared" ca="1" si="79"/>
        <v>n.v.t.</v>
      </c>
      <c r="BL131" t="s">
        <v>64</v>
      </c>
    </row>
    <row r="132" spans="9:64" x14ac:dyDescent="0.3">
      <c r="K132">
        <v>1</v>
      </c>
      <c r="L132" s="11" t="s">
        <v>368</v>
      </c>
      <c r="M132">
        <v>1</v>
      </c>
      <c r="P132">
        <v>90</v>
      </c>
      <c r="Q132">
        <v>5</v>
      </c>
      <c r="R132" t="str">
        <f ca="1">IF(N128=P132,"ja","nee")</f>
        <v>nee</v>
      </c>
      <c r="S132" t="str">
        <f ca="1">IF(AND(N128&gt;P132,N128&lt;P133),Q132,"n.v.t.")</f>
        <v>n.v.t.</v>
      </c>
      <c r="T132" t="str">
        <f t="shared" ca="1" si="67"/>
        <v>n.v.t.</v>
      </c>
      <c r="U132" t="str">
        <f ca="1">IF(S132="n.v.t.","n.v.t.",(P133-N128)/(P133-P132))</f>
        <v>n.v.t.</v>
      </c>
      <c r="V132" t="str">
        <f ca="1">IF(T132="n.v.t.","n.v.t.",(N128-P132)/(P133-P132))</f>
        <v>n.v.t.</v>
      </c>
      <c r="W132" s="4" cm="1">
        <f t="array" ref="W132">INDEX(Datablad!$AO$70:$AV$83,W125+2,M129)</f>
        <v>11.1</v>
      </c>
      <c r="X132" s="4" cm="1">
        <f t="array" ref="X132">INDEX(Datablad!$AO$70:$AV$83,X125+2,M129)</f>
        <v>19.5</v>
      </c>
      <c r="Y132" s="4" cm="1">
        <f t="array" ref="Y132">INDEX(Datablad!$AO$70:$AV$83,Y125+2,M129)</f>
        <v>34.799999999999997</v>
      </c>
      <c r="Z132" s="4" cm="1">
        <f t="array" ref="Z132">INDEX(Datablad!$AO$70:$AV$83,Z125+2,M129)</f>
        <v>49.4</v>
      </c>
      <c r="AA132" s="4" cm="1">
        <f t="array" ref="AA132">INDEX(Datablad!$AO$70:$AV$83,AA125+2,M129)</f>
        <v>61.9</v>
      </c>
      <c r="AB132" s="4" cm="1">
        <f t="array" ref="AB132">INDEX(Datablad!$AO$70:$AV$83,AB125+2,M129)</f>
        <v>73</v>
      </c>
      <c r="AC132" s="4" cm="1">
        <f t="array" ref="AC132">INDEX(Datablad!$AO$70:$AV$83,AC125+2,M129)</f>
        <v>66.7</v>
      </c>
      <c r="AD132" s="4" cm="1">
        <f t="array" ref="AD132">INDEX(Datablad!$AO$70:$AV$83,AD125+2,M129)</f>
        <v>55.9</v>
      </c>
      <c r="AE132" s="4" cm="1">
        <f t="array" ref="AE132">INDEX(Datablad!$AO$70:$AV$83,AE125+2,M129)</f>
        <v>41.4</v>
      </c>
      <c r="AF132" s="4" cm="1">
        <f t="array" ref="AF132">INDEX(Datablad!$AO$70:$AV$83,AF125+2,M129)</f>
        <v>26.4</v>
      </c>
      <c r="AG132" s="4" cm="1">
        <f t="array" ref="AG132">INDEX(Datablad!$AO$70:$AV$83,AG125+2,M129)</f>
        <v>13.6</v>
      </c>
      <c r="AH132" s="4" cm="1">
        <f t="array" ref="AH132">INDEX(Datablad!$AO$70:$AV$83,AH125+2,M129)</f>
        <v>8.9</v>
      </c>
      <c r="AI132" s="10"/>
      <c r="AJ132" s="4" cm="1">
        <f t="array" ref="AJ132">INDEX(Datablad!$AX$70:$BE$83,AJ125+2,M129)</f>
        <v>7.5</v>
      </c>
      <c r="AK132" s="4" cm="1">
        <f t="array" ref="AK132">INDEX(Datablad!$AX$70:$BE$83,AK125+2,M129)</f>
        <v>12.9</v>
      </c>
      <c r="AL132" s="4" cm="1">
        <f t="array" ref="AL132">INDEX(Datablad!$AX$70:$BE$83,AL125+2,M129)</f>
        <v>24.5</v>
      </c>
      <c r="AM132" s="4" cm="1">
        <f t="array" ref="AM132">INDEX(Datablad!$AX$70:$BE$83,AM125+2,M129)</f>
        <v>38.299999999999997</v>
      </c>
      <c r="AN132" s="4" cm="1">
        <f t="array" ref="AN132">INDEX(Datablad!$AX$70:$BE$83,AN125+2,M129)</f>
        <v>46.7</v>
      </c>
      <c r="AO132" s="4" cm="1">
        <f t="array" ref="AO132">INDEX(Datablad!$AX$70:$BE$83,AO125+2,M129)</f>
        <v>50.6</v>
      </c>
      <c r="AP132" s="4" cm="1">
        <f t="array" ref="AP132">INDEX(Datablad!$AX$70:$BE$83,AP125+2,M129)</f>
        <v>46.5</v>
      </c>
      <c r="AQ132" s="4" cm="1">
        <f t="array" ref="AQ132">INDEX(Datablad!$AX$70:$BE$83,AQ125+2,M129)</f>
        <v>42.1</v>
      </c>
      <c r="AR132" s="4" cm="1">
        <f t="array" ref="AR132">INDEX(Datablad!$AX$70:$BE$83,AR125+2,M129)</f>
        <v>30.4</v>
      </c>
      <c r="AS132" s="4" cm="1">
        <f t="array" ref="AS132">INDEX(Datablad!$AX$70:$BE$83,AS125+2,M129)</f>
        <v>18.600000000000001</v>
      </c>
      <c r="AT132" s="4" cm="1">
        <f t="array" ref="AT132">INDEX(Datablad!$AX$70:$BE$83,AT125+2,M129)</f>
        <v>9.1</v>
      </c>
      <c r="AU132" s="4" cm="1">
        <f t="array" ref="AU132">INDEX(Datablad!$AX$70:$BE$83,AU125+2,M129)</f>
        <v>5.8</v>
      </c>
      <c r="AV132">
        <v>5</v>
      </c>
      <c r="AW132" s="4" t="str">
        <f t="shared" ca="1" si="68"/>
        <v>n.v.t.</v>
      </c>
      <c r="AX132" s="4" t="str">
        <f t="shared" ca="1" si="69"/>
        <v>n.v.t.</v>
      </c>
      <c r="AY132" s="4" t="str">
        <f t="shared" ca="1" si="70"/>
        <v>n.v.t.</v>
      </c>
      <c r="AZ132" s="4" t="str">
        <f t="shared" ca="1" si="71"/>
        <v>n.v.t.</v>
      </c>
      <c r="BA132" s="4" t="str">
        <f t="shared" ca="1" si="72"/>
        <v>n.v.t.</v>
      </c>
      <c r="BB132" s="4" t="str">
        <f t="shared" ca="1" si="73"/>
        <v>n.v.t.</v>
      </c>
      <c r="BC132" s="4" t="str">
        <f t="shared" ca="1" si="74"/>
        <v>n.v.t.</v>
      </c>
      <c r="BD132" s="4" t="str">
        <f t="shared" ca="1" si="75"/>
        <v>n.v.t.</v>
      </c>
      <c r="BE132" s="4" t="str">
        <f t="shared" ca="1" si="76"/>
        <v>n.v.t.</v>
      </c>
      <c r="BF132" s="4" t="str">
        <f t="shared" ca="1" si="77"/>
        <v>n.v.t.</v>
      </c>
      <c r="BG132" s="4" t="str">
        <f t="shared" ca="1" si="78"/>
        <v>n.v.t.</v>
      </c>
      <c r="BH132" s="4" t="str">
        <f t="shared" ca="1" si="79"/>
        <v>n.v.t.</v>
      </c>
    </row>
    <row r="133" spans="9:64" x14ac:dyDescent="0.3">
      <c r="K133">
        <v>2</v>
      </c>
      <c r="L133" s="11" t="s">
        <v>183</v>
      </c>
      <c r="M133">
        <v>5</v>
      </c>
      <c r="P133">
        <v>135</v>
      </c>
      <c r="Q133">
        <v>6</v>
      </c>
      <c r="R133" t="str">
        <f ca="1">IF(N128=P133,"ja","nee")</f>
        <v>nee</v>
      </c>
      <c r="S133" t="str">
        <f ca="1">IF(AND(N128&gt;P133,N128&lt;P134),Q133,"n.v.t.")</f>
        <v>n.v.t.</v>
      </c>
      <c r="T133" t="str">
        <f t="shared" ca="1" si="67"/>
        <v>n.v.t.</v>
      </c>
      <c r="U133" t="str">
        <f ca="1">IF(S133="n.v.t.","n.v.t.",(P134-N128)/(P134-P133))</f>
        <v>n.v.t.</v>
      </c>
      <c r="V133" t="str">
        <f ca="1">IF(T133="n.v.t.","n.v.t.",(N128-P133)/(P134-P133))</f>
        <v>n.v.t.</v>
      </c>
      <c r="W133" s="4" cm="1">
        <f t="array" ref="W133">INDEX(Datablad!$AX$70:$BE$83,W125+2,M129)</f>
        <v>7.5</v>
      </c>
      <c r="X133" s="4" cm="1">
        <f t="array" ref="X133">INDEX(Datablad!$AX$70:$BE$83,X125+2,M129)</f>
        <v>12.9</v>
      </c>
      <c r="Y133" s="4" cm="1">
        <f t="array" ref="Y133">INDEX(Datablad!$AX$70:$BE$83,Y125+2,M129)</f>
        <v>24.5</v>
      </c>
      <c r="Z133" s="4" cm="1">
        <f t="array" ref="Z133">INDEX(Datablad!$AX$70:$BE$83,Z125+2,M129)</f>
        <v>38.299999999999997</v>
      </c>
      <c r="AA133" s="4" cm="1">
        <f t="array" ref="AA133">INDEX(Datablad!$AX$70:$BE$83,AA125+2,M129)</f>
        <v>46.7</v>
      </c>
      <c r="AB133" s="4" cm="1">
        <f t="array" ref="AB133">INDEX(Datablad!$AX$70:$BE$83,AB125+2,M129)</f>
        <v>50.6</v>
      </c>
      <c r="AC133" s="4" cm="1">
        <f t="array" ref="AC133">INDEX(Datablad!$AX$70:$BE$83,AC125+2,M129)</f>
        <v>46.5</v>
      </c>
      <c r="AD133" s="4" cm="1">
        <f t="array" ref="AD133">INDEX(Datablad!$AX$70:$BE$83,AD125+2,M129)</f>
        <v>42.1</v>
      </c>
      <c r="AE133" s="4" cm="1">
        <f t="array" ref="AE133">INDEX(Datablad!$AX$70:$BE$83,AE125+2,M129)</f>
        <v>30.4</v>
      </c>
      <c r="AF133" s="4" cm="1">
        <f t="array" ref="AF133">INDEX(Datablad!$AX$70:$BE$83,AF125+2,M129)</f>
        <v>18.600000000000001</v>
      </c>
      <c r="AG133" s="4" cm="1">
        <f t="array" ref="AG133">INDEX(Datablad!$AX$70:$BE$83,AG125+2,M129)</f>
        <v>9.1</v>
      </c>
      <c r="AH133" s="4" cm="1">
        <f t="array" ref="AH133">INDEX(Datablad!$AX$70:$BE$83,AH125+2,M129)</f>
        <v>5.8</v>
      </c>
      <c r="AI133" s="10"/>
      <c r="AJ133" s="4" cm="1">
        <f t="array" ref="AJ133">INDEX(Datablad!$BG$70:$BN$83,AJ125+2,M129)</f>
        <v>5.6</v>
      </c>
      <c r="AK133" s="4" cm="1">
        <f t="array" ref="AK133">INDEX(Datablad!$BG$70:$BN$83,AK125+2,M129)</f>
        <v>9.8000000000000007</v>
      </c>
      <c r="AL133" s="4" cm="1">
        <f t="array" ref="AL133">INDEX(Datablad!$BG$70:$BN$83,AL125+2,M129)</f>
        <v>19.3</v>
      </c>
      <c r="AM133" s="4" cm="1">
        <f t="array" ref="AM133">INDEX(Datablad!$BG$70:$BN$83,AM125+2,M129)</f>
        <v>32.1</v>
      </c>
      <c r="AN133" s="4" cm="1">
        <f t="array" ref="AN133">INDEX(Datablad!$BG$70:$BN$83,AN125+2,M129)</f>
        <v>39.299999999999997</v>
      </c>
      <c r="AO133" s="4" cm="1">
        <f t="array" ref="AO133">INDEX(Datablad!$BG$70:$BN$83,AO125+2,M129)</f>
        <v>41.8</v>
      </c>
      <c r="AP133" s="4" cm="1">
        <f t="array" ref="AP133">INDEX(Datablad!$BG$70:$BN$83,AP125+2,M129)</f>
        <v>38.200000000000003</v>
      </c>
      <c r="AQ133" s="4" cm="1">
        <f t="array" ref="AQ133">INDEX(Datablad!$BG$70:$BN$83,AQ125+2,M129)</f>
        <v>35.299999999999997</v>
      </c>
      <c r="AR133" s="4" cm="1">
        <f t="array" ref="AR133">INDEX(Datablad!$BG$70:$BN$83,AR125+2,M129)</f>
        <v>24.7</v>
      </c>
      <c r="AS133" s="4" cm="1">
        <f t="array" ref="AS133">INDEX(Datablad!$BG$70:$BN$83,AS125+2,M129)</f>
        <v>14.6</v>
      </c>
      <c r="AT133" s="4" cm="1">
        <f t="array" ref="AT133">INDEX(Datablad!$BG$70:$BN$83,AT125+2,M129)</f>
        <v>6.9</v>
      </c>
      <c r="AU133" s="4" cm="1">
        <f t="array" ref="AU133">INDEX(Datablad!$BG$70:$BN$83,AU125+2,M129)</f>
        <v>4.2</v>
      </c>
      <c r="AV133">
        <v>6</v>
      </c>
      <c r="AW133" s="4" t="str">
        <f t="shared" ca="1" si="68"/>
        <v>n.v.t.</v>
      </c>
      <c r="AX133" s="4" t="str">
        <f t="shared" ca="1" si="69"/>
        <v>n.v.t.</v>
      </c>
      <c r="AY133" s="4" t="str">
        <f t="shared" ca="1" si="70"/>
        <v>n.v.t.</v>
      </c>
      <c r="AZ133" s="4" t="str">
        <f t="shared" ca="1" si="71"/>
        <v>n.v.t.</v>
      </c>
      <c r="BA133" s="4" t="str">
        <f t="shared" ca="1" si="72"/>
        <v>n.v.t.</v>
      </c>
      <c r="BB133" s="4" t="str">
        <f t="shared" ca="1" si="73"/>
        <v>n.v.t.</v>
      </c>
      <c r="BC133" s="4" t="str">
        <f t="shared" ca="1" si="74"/>
        <v>n.v.t.</v>
      </c>
      <c r="BD133" s="4" t="str">
        <f t="shared" ca="1" si="75"/>
        <v>n.v.t.</v>
      </c>
      <c r="BE133" s="4" t="str">
        <f t="shared" ca="1" si="76"/>
        <v>n.v.t.</v>
      </c>
      <c r="BF133" s="4" t="str">
        <f t="shared" ca="1" si="77"/>
        <v>n.v.t.</v>
      </c>
      <c r="BG133" s="4" t="str">
        <f t="shared" ca="1" si="78"/>
        <v>n.v.t.</v>
      </c>
      <c r="BH133" s="4" t="str">
        <f t="shared" ca="1" si="79"/>
        <v>n.v.t.</v>
      </c>
    </row>
    <row r="134" spans="9:64" x14ac:dyDescent="0.3">
      <c r="K134">
        <v>3</v>
      </c>
      <c r="L134" s="11" t="s">
        <v>184</v>
      </c>
      <c r="M134">
        <v>6</v>
      </c>
      <c r="P134">
        <v>180</v>
      </c>
      <c r="Q134">
        <v>7</v>
      </c>
      <c r="R134" t="str">
        <f ca="1">IF(N128=P134,"ja","nee")</f>
        <v>nee</v>
      </c>
      <c r="S134" t="str">
        <f ca="1">IF(AND(N128&gt;P134,N128&lt;P135),Q134,"n.v.t.")</f>
        <v>n.v.t.</v>
      </c>
      <c r="T134" t="str">
        <f t="shared" ca="1" si="67"/>
        <v>n.v.t.</v>
      </c>
      <c r="U134" t="str">
        <f ca="1">IF(S134="n.v.t.","n.v.t.",(P135-N128)/(P135-P134))</f>
        <v>n.v.t.</v>
      </c>
      <c r="V134" t="str">
        <f ca="1">IF(T134="n.v.t.","n.v.t.",(N128-P134)/(P135-P134))</f>
        <v>n.v.t.</v>
      </c>
      <c r="W134" s="4" cm="1">
        <f t="array" ref="W134">INDEX(Datablad!$BG$70:$BN$83,W125+2,M129)</f>
        <v>5.6</v>
      </c>
      <c r="X134" s="4" cm="1">
        <f t="array" ref="X134">INDEX(Datablad!$BG$70:$BN$83,X125+2,M129)</f>
        <v>9.8000000000000007</v>
      </c>
      <c r="Y134" s="4" cm="1">
        <f t="array" ref="Y134">INDEX(Datablad!$BG$70:$BN$83,Y125+2,M129)</f>
        <v>19.3</v>
      </c>
      <c r="Z134" s="4" cm="1">
        <f t="array" ref="Z134">INDEX(Datablad!$BG$70:$BN$83,Z125+2,M129)</f>
        <v>32.1</v>
      </c>
      <c r="AA134" s="4" cm="1">
        <f t="array" ref="AA134">INDEX(Datablad!$BG$70:$BN$83,AA125+2,M129)</f>
        <v>39.299999999999997</v>
      </c>
      <c r="AB134" s="4" cm="1">
        <f t="array" ref="AB134">INDEX(Datablad!$BG$70:$BN$83,AB125+2,M129)</f>
        <v>41.8</v>
      </c>
      <c r="AC134" s="4" cm="1">
        <f t="array" ref="AC134">INDEX(Datablad!$BG$70:$BN$83,AC125+2,M129)</f>
        <v>38.200000000000003</v>
      </c>
      <c r="AD134" s="4" cm="1">
        <f t="array" ref="AD134">INDEX(Datablad!$BG$70:$BN$83,AD125+2,M129)</f>
        <v>35.299999999999997</v>
      </c>
      <c r="AE134" s="4" cm="1">
        <f t="array" ref="AE134">INDEX(Datablad!$BG$70:$BN$83,AE125+2,M129)</f>
        <v>24.7</v>
      </c>
      <c r="AF134" s="4" cm="1">
        <f t="array" ref="AF134">INDEX(Datablad!$BG$70:$BN$83,AF125+2,M129)</f>
        <v>14.6</v>
      </c>
      <c r="AG134" s="4" cm="1">
        <f t="array" ref="AG134">INDEX(Datablad!$BG$70:$BN$83,AG125+2,M129)</f>
        <v>6.9</v>
      </c>
      <c r="AH134" s="4" cm="1">
        <f t="array" ref="AH134">INDEX(Datablad!$BG$70:$BN$83,AH125+2,M129)</f>
        <v>4.2</v>
      </c>
      <c r="AI134" s="10"/>
      <c r="AV134">
        <v>7</v>
      </c>
      <c r="AW134" s="4" t="str">
        <f t="shared" ca="1" si="68"/>
        <v>n.v.t.</v>
      </c>
      <c r="AX134" s="4" t="str">
        <f t="shared" ca="1" si="69"/>
        <v>n.v.t.</v>
      </c>
      <c r="AY134" s="4" t="str">
        <f t="shared" ca="1" si="70"/>
        <v>n.v.t.</v>
      </c>
      <c r="AZ134" s="4" t="str">
        <f t="shared" ca="1" si="71"/>
        <v>n.v.t.</v>
      </c>
      <c r="BA134" s="4" t="str">
        <f t="shared" ca="1" si="72"/>
        <v>n.v.t.</v>
      </c>
      <c r="BB134" s="4" t="str">
        <f t="shared" ca="1" si="73"/>
        <v>n.v.t.</v>
      </c>
      <c r="BC134" s="4" t="str">
        <f t="shared" ca="1" si="74"/>
        <v>n.v.t.</v>
      </c>
      <c r="BD134" s="4" t="str">
        <f t="shared" ca="1" si="75"/>
        <v>n.v.t.</v>
      </c>
      <c r="BE134" s="4" t="str">
        <f t="shared" ca="1" si="76"/>
        <v>n.v.t.</v>
      </c>
      <c r="BF134" s="4" t="str">
        <f t="shared" ca="1" si="77"/>
        <v>n.v.t.</v>
      </c>
      <c r="BG134" s="4" t="str">
        <f t="shared" ca="1" si="78"/>
        <v>n.v.t.</v>
      </c>
      <c r="BH134" s="4" t="str">
        <f t="shared" ca="1" si="79"/>
        <v>n.v.t.</v>
      </c>
    </row>
    <row r="135" spans="9:64" x14ac:dyDescent="0.3">
      <c r="K135">
        <v>4</v>
      </c>
      <c r="L135" s="11" t="s">
        <v>185</v>
      </c>
      <c r="M135">
        <v>7</v>
      </c>
    </row>
    <row r="136" spans="9:64" x14ac:dyDescent="0.3">
      <c r="K136">
        <v>5</v>
      </c>
      <c r="L136" s="11" t="s">
        <v>186</v>
      </c>
      <c r="M136">
        <v>8</v>
      </c>
    </row>
    <row r="137" spans="9:64" x14ac:dyDescent="0.3">
      <c r="K137">
        <v>6</v>
      </c>
      <c r="L137" s="11" t="s">
        <v>180</v>
      </c>
      <c r="M137">
        <v>1</v>
      </c>
    </row>
    <row r="138" spans="9:64" x14ac:dyDescent="0.3">
      <c r="K138">
        <v>7</v>
      </c>
      <c r="L138" s="11" t="s">
        <v>176</v>
      </c>
      <c r="M138">
        <v>2</v>
      </c>
    </row>
    <row r="139" spans="9:64" x14ac:dyDescent="0.3">
      <c r="K139">
        <v>8</v>
      </c>
      <c r="L139" s="11" t="s">
        <v>181</v>
      </c>
      <c r="M139">
        <v>3</v>
      </c>
    </row>
    <row r="140" spans="9:64" x14ac:dyDescent="0.3">
      <c r="K140">
        <v>9</v>
      </c>
      <c r="L140" s="11" t="s">
        <v>182</v>
      </c>
      <c r="M140">
        <v>4</v>
      </c>
      <c r="BL140" t="s">
        <v>66</v>
      </c>
    </row>
    <row r="141" spans="9:64" x14ac:dyDescent="0.3">
      <c r="I141" s="1" t="s">
        <v>230</v>
      </c>
      <c r="T141" t="s">
        <v>199</v>
      </c>
      <c r="U141" t="s">
        <v>172</v>
      </c>
    </row>
    <row r="142" spans="9:64" x14ac:dyDescent="0.3">
      <c r="P142" s="4">
        <v>1</v>
      </c>
      <c r="Q142" t="s">
        <v>147</v>
      </c>
      <c r="T142" t="s">
        <v>198</v>
      </c>
      <c r="U142" t="s">
        <v>200</v>
      </c>
      <c r="V142" t="s">
        <v>201</v>
      </c>
      <c r="BL142" t="s">
        <v>67</v>
      </c>
    </row>
    <row r="143" spans="9:64" x14ac:dyDescent="0.3">
      <c r="P143" s="4">
        <v>2</v>
      </c>
      <c r="Q143" t="s">
        <v>148</v>
      </c>
      <c r="T143" t="s">
        <v>196</v>
      </c>
      <c r="U143" t="s">
        <v>202</v>
      </c>
    </row>
    <row r="144" spans="9:64" x14ac:dyDescent="0.3">
      <c r="P144" s="4">
        <v>3</v>
      </c>
      <c r="Q144" t="s">
        <v>149</v>
      </c>
      <c r="T144" t="s">
        <v>196</v>
      </c>
      <c r="U144" t="s">
        <v>202</v>
      </c>
      <c r="BL144" t="s">
        <v>68</v>
      </c>
    </row>
    <row r="145" spans="9:66" x14ac:dyDescent="0.3">
      <c r="P145" s="4">
        <v>4</v>
      </c>
      <c r="Q145" t="s">
        <v>150</v>
      </c>
      <c r="T145" t="s">
        <v>196</v>
      </c>
      <c r="U145" t="s">
        <v>202</v>
      </c>
    </row>
    <row r="146" spans="9:66" x14ac:dyDescent="0.3">
      <c r="P146" s="4">
        <v>5</v>
      </c>
      <c r="Q146" t="s">
        <v>151</v>
      </c>
      <c r="T146" t="s">
        <v>197</v>
      </c>
      <c r="U146" t="s">
        <v>203</v>
      </c>
    </row>
    <row r="147" spans="9:66" x14ac:dyDescent="0.3">
      <c r="P147" s="4">
        <v>6</v>
      </c>
      <c r="Q147" t="s">
        <v>152</v>
      </c>
      <c r="T147" t="s">
        <v>197</v>
      </c>
      <c r="U147" t="s">
        <v>203</v>
      </c>
    </row>
    <row r="149" spans="9:66" x14ac:dyDescent="0.3">
      <c r="P149" t="s">
        <v>3</v>
      </c>
      <c r="Q149" t="s">
        <v>4</v>
      </c>
      <c r="R149" t="s">
        <v>5</v>
      </c>
      <c r="S149" t="s">
        <v>6</v>
      </c>
      <c r="T149" t="s">
        <v>7</v>
      </c>
      <c r="U149" t="s">
        <v>8</v>
      </c>
      <c r="V149" t="s">
        <v>9</v>
      </c>
      <c r="W149" t="s">
        <v>10</v>
      </c>
      <c r="X149" t="s">
        <v>11</v>
      </c>
      <c r="Y149" t="s">
        <v>12</v>
      </c>
      <c r="Z149" t="s">
        <v>13</v>
      </c>
      <c r="AA149" t="s">
        <v>14</v>
      </c>
    </row>
    <row r="150" spans="9:66" x14ac:dyDescent="0.3">
      <c r="M150" t="s">
        <v>234</v>
      </c>
      <c r="P150" s="18">
        <f ca="1">IF($I156=1,P157,IF(OR($I156=2,$I156=3,$I156=4),Y157,AR157))</f>
        <v>0.55000000000000004</v>
      </c>
      <c r="Q150" s="18">
        <f ca="1">IF($I156=1,P158,IF(OR($I156=2,$I156=3,$I156=4),Y158,AR158))</f>
        <v>0.57999999999999996</v>
      </c>
      <c r="R150" s="18">
        <f ca="1">IF($I156=1,P159,IF(OR($I156=2,$I156=3,$I156=4),Y159,AR159))</f>
        <v>0.49</v>
      </c>
      <c r="S150" s="18">
        <f ca="1">IF($I156=1,P160,IF(OR($I156=2,$I156=3,$I156=4),Y160,AR160))</f>
        <v>0.36</v>
      </c>
      <c r="T150" s="18">
        <f ca="1">IF($I156=1,P161,IF(OR($I156=2,$I156=3,$I156=4),Y161,AR161))</f>
        <v>0.34</v>
      </c>
      <c r="U150" s="18">
        <f ca="1">IF($I156=1,P162,IF(OR($I156=2,$I156=3,$I156=4),Y162,AR162))</f>
        <v>0.37</v>
      </c>
      <c r="V150" s="18">
        <f ca="1">IF($I156=1,P163,IF(OR($I156=2,$I156=3,$I156=4),Y163,AR163))</f>
        <v>0.41</v>
      </c>
      <c r="W150" s="18">
        <f ca="1">IF($I156=1,P164,IF(OR($I156=2,$I156=3,$I156=4),Y164,AR164))</f>
        <v>0.37</v>
      </c>
      <c r="X150" s="18">
        <f ca="1">IF($I156=1,P165,IF(OR($I156=2,$I156=3,$I156=4),Y165,AR165))</f>
        <v>0.43</v>
      </c>
      <c r="Y150" s="18">
        <f ca="1">IF($I156=1,P166,IF(OR($I156=2,$I156=3,$I156=4),Y166,AR166))</f>
        <v>0.48</v>
      </c>
      <c r="Z150" s="18">
        <f ca="1">IF($I156=1,P167,IF(OR($I156=2,$I156=3,$I156=4),Y167,AR167))</f>
        <v>0.56000000000000005</v>
      </c>
      <c r="AA150" s="18">
        <f ca="1">IF($I156=1,P168,IF(OR($I156=2,$I156=3,$I156=4),Y168,AR168))</f>
        <v>0.6</v>
      </c>
    </row>
    <row r="155" spans="9:66" x14ac:dyDescent="0.3">
      <c r="I155" t="s">
        <v>241</v>
      </c>
      <c r="N155" s="17" t="s">
        <v>245</v>
      </c>
      <c r="P155" s="15"/>
      <c r="Q155" s="15"/>
      <c r="S155" t="s">
        <v>380</v>
      </c>
      <c r="W155" s="17" t="s">
        <v>246</v>
      </c>
      <c r="Y155" s="15"/>
      <c r="Z155" s="15"/>
      <c r="AA155" s="15"/>
      <c r="AB155" s="15"/>
      <c r="AF155">
        <f ca="1">HLOOKUP(S159,Datablad!$H$96:$BQ$97,2,FALSE)</f>
        <v>1</v>
      </c>
      <c r="AG155" t="s">
        <v>249</v>
      </c>
      <c r="AL155" t="s">
        <v>380</v>
      </c>
      <c r="AP155" s="17" t="s">
        <v>247</v>
      </c>
    </row>
    <row r="156" spans="9:66" x14ac:dyDescent="0.3">
      <c r="I156" s="59" t="str">
        <f>'Drop-down'!$BG$3</f>
        <v>nvt</v>
      </c>
      <c r="O156" t="s">
        <v>231</v>
      </c>
      <c r="Q156" s="15"/>
      <c r="X156" t="s">
        <v>232</v>
      </c>
      <c r="AA156" t="s">
        <v>248</v>
      </c>
      <c r="AB156" t="s">
        <v>250</v>
      </c>
      <c r="AF156" t="e">
        <f ca="1">IF(S158=1,VLOOKUP(S157,$AE$70:$AF$72,2,FALSE),VLOOKUP(S157,$AE$73:$AF$75,2,FALSE))</f>
        <v>#N/A</v>
      </c>
      <c r="AG156" t="s">
        <v>251</v>
      </c>
      <c r="AK156" t="s">
        <v>235</v>
      </c>
      <c r="AL156" s="14" t="str">
        <f>I156</f>
        <v>nvt</v>
      </c>
      <c r="AM156" t="s">
        <v>236</v>
      </c>
      <c r="AQ156" t="s">
        <v>233</v>
      </c>
      <c r="AT156" t="s">
        <v>248</v>
      </c>
      <c r="AU156" t="s">
        <v>250</v>
      </c>
      <c r="AW156" t="s">
        <v>270</v>
      </c>
    </row>
    <row r="157" spans="9:66" x14ac:dyDescent="0.3">
      <c r="I157" t="s">
        <v>377</v>
      </c>
      <c r="O157" t="s">
        <v>3</v>
      </c>
      <c r="P157" s="15">
        <v>1</v>
      </c>
      <c r="Q157" s="15"/>
      <c r="S157" s="59" t="str">
        <f>I156</f>
        <v>nvt</v>
      </c>
      <c r="T157" t="s">
        <v>239</v>
      </c>
      <c r="X157" t="s">
        <v>71</v>
      </c>
      <c r="Y157" s="19" t="e" cm="1">
        <f t="array" aca="1" ref="Y157" ca="1">INDEX(Datablad!$H$102:$BQ$113,Rekenblad!AB157,Rekenblad!AA157)</f>
        <v>#N/A</v>
      </c>
      <c r="AA157" t="e">
        <f ca="1">AF155+AF156-1</f>
        <v>#N/A</v>
      </c>
      <c r="AB157">
        <v>1</v>
      </c>
      <c r="AD157" t="s">
        <v>218</v>
      </c>
      <c r="AF157" t="s">
        <v>248</v>
      </c>
      <c r="AG157" t="s">
        <v>252</v>
      </c>
      <c r="AL157" s="14">
        <f ca="1">I160</f>
        <v>0</v>
      </c>
      <c r="AM157" t="s">
        <v>174</v>
      </c>
      <c r="AQ157" t="s">
        <v>71</v>
      </c>
      <c r="AR157" s="19" cm="1">
        <f t="array" aca="1" ref="AR157" ca="1">INDEX(Datablad!$H$123:$DU$134,Rekenblad!AU157,Rekenblad!AT157)</f>
        <v>0.55000000000000004</v>
      </c>
      <c r="AT157">
        <f ca="1">$AX166+$AX164</f>
        <v>7</v>
      </c>
      <c r="AU157">
        <v>1</v>
      </c>
      <c r="AW157" t="s">
        <v>267</v>
      </c>
      <c r="AX157" t="s">
        <v>261</v>
      </c>
      <c r="AY157" s="9" t="s">
        <v>257</v>
      </c>
      <c r="AZ157" s="9" t="s">
        <v>256</v>
      </c>
      <c r="BA157" s="9" t="s">
        <v>255</v>
      </c>
      <c r="BB157" s="9" t="s">
        <v>262</v>
      </c>
      <c r="BC157" s="9" t="s">
        <v>254</v>
      </c>
      <c r="BD157" s="9" t="s">
        <v>253</v>
      </c>
      <c r="BE157" t="s">
        <v>264</v>
      </c>
      <c r="BF157" s="9" t="s">
        <v>263</v>
      </c>
      <c r="BG157" s="9" t="s">
        <v>258</v>
      </c>
      <c r="BH157" s="9" t="s">
        <v>259</v>
      </c>
      <c r="BI157" s="9" t="s">
        <v>265</v>
      </c>
      <c r="BJ157" s="9" t="s">
        <v>260</v>
      </c>
      <c r="BL157" s="9" t="s">
        <v>259</v>
      </c>
      <c r="BM157" s="9" t="s">
        <v>265</v>
      </c>
      <c r="BN157" s="9" t="s">
        <v>260</v>
      </c>
    </row>
    <row r="158" spans="9:66" x14ac:dyDescent="0.3">
      <c r="I158" s="58">
        <f ca="1">IF('Drop-down'!$BJ$3=3,2,1)</f>
        <v>1</v>
      </c>
      <c r="O158" t="s">
        <v>4</v>
      </c>
      <c r="P158" s="15">
        <v>1</v>
      </c>
      <c r="Q158" s="15"/>
      <c r="S158" s="59">
        <f ca="1">I158</f>
        <v>1</v>
      </c>
      <c r="T158" t="s">
        <v>240</v>
      </c>
      <c r="X158" t="s">
        <v>73</v>
      </c>
      <c r="Y158" s="19" t="e" cm="1">
        <f t="array" aca="1" ref="Y158" ca="1">INDEX(Datablad!$H$102:$BQ$113,Rekenblad!AB158,Rekenblad!AA158)</f>
        <v>#N/A</v>
      </c>
      <c r="AA158" t="e">
        <f ca="1">AF155+AF156-1</f>
        <v>#N/A</v>
      </c>
      <c r="AB158">
        <v>2</v>
      </c>
      <c r="AD158">
        <v>1</v>
      </c>
      <c r="AE158" s="15">
        <v>2</v>
      </c>
      <c r="AF158" s="15">
        <v>1</v>
      </c>
      <c r="AM158" t="s">
        <v>237</v>
      </c>
      <c r="AQ158" t="s">
        <v>73</v>
      </c>
      <c r="AR158" s="19" cm="1">
        <f t="array" aca="1" ref="AR158" ca="1">INDEX(Datablad!$H$123:$DU$134,Rekenblad!AU158,Rekenblad!AT158)</f>
        <v>0.57999999999999996</v>
      </c>
      <c r="AT158">
        <f ca="1">$AX166+$AX164</f>
        <v>7</v>
      </c>
      <c r="AU158">
        <v>2</v>
      </c>
      <c r="AW158" t="s">
        <v>248</v>
      </c>
      <c r="AX158">
        <v>0</v>
      </c>
      <c r="AY158">
        <v>1</v>
      </c>
      <c r="AZ158">
        <v>2</v>
      </c>
      <c r="BA158">
        <v>3</v>
      </c>
      <c r="BB158">
        <v>4</v>
      </c>
      <c r="BC158">
        <v>5</v>
      </c>
      <c r="BD158">
        <v>6</v>
      </c>
      <c r="BE158">
        <v>7</v>
      </c>
      <c r="BF158">
        <v>8</v>
      </c>
      <c r="BG158">
        <v>9</v>
      </c>
      <c r="BH158">
        <v>10</v>
      </c>
      <c r="BI158">
        <v>11</v>
      </c>
      <c r="BJ158">
        <v>12</v>
      </c>
      <c r="BL158">
        <v>10</v>
      </c>
      <c r="BM158">
        <v>11</v>
      </c>
      <c r="BN158">
        <v>12</v>
      </c>
    </row>
    <row r="159" spans="9:66" x14ac:dyDescent="0.3">
      <c r="I159" t="s">
        <v>376</v>
      </c>
      <c r="O159" t="s">
        <v>5</v>
      </c>
      <c r="P159" s="15">
        <v>1</v>
      </c>
      <c r="Q159" s="15"/>
      <c r="S159" s="58" t="str">
        <f ca="1">I163</f>
        <v>Z</v>
      </c>
      <c r="T159" t="s">
        <v>379</v>
      </c>
      <c r="X159" t="s">
        <v>74</v>
      </c>
      <c r="Y159" s="19" t="e" cm="1">
        <f t="array" aca="1" ref="Y159" ca="1">INDEX(Datablad!$H$102:$BQ$113,Rekenblad!AB159,Rekenblad!AA159)</f>
        <v>#N/A</v>
      </c>
      <c r="AA159" t="e">
        <f ca="1">AF155+AF156-1</f>
        <v>#N/A</v>
      </c>
      <c r="AB159">
        <v>3</v>
      </c>
      <c r="AD159">
        <v>1</v>
      </c>
      <c r="AE159" s="15">
        <v>3</v>
      </c>
      <c r="AF159" s="15">
        <v>3</v>
      </c>
      <c r="AM159" t="s">
        <v>238</v>
      </c>
      <c r="AQ159" t="s">
        <v>74</v>
      </c>
      <c r="AR159" s="19" cm="1">
        <f t="array" aca="1" ref="AR159" ca="1">INDEX(Datablad!$H$123:$DU$134,Rekenblad!AU159,Rekenblad!AT159)</f>
        <v>0.49</v>
      </c>
      <c r="AT159">
        <f ca="1">$AX166+$AX164</f>
        <v>7</v>
      </c>
      <c r="AU159">
        <v>3</v>
      </c>
      <c r="AW159" t="s">
        <v>266</v>
      </c>
      <c r="AX159">
        <f>AY159+15</f>
        <v>83</v>
      </c>
      <c r="AY159">
        <f>AZ159+15</f>
        <v>68</v>
      </c>
      <c r="AZ159">
        <f>BA159+15</f>
        <v>53</v>
      </c>
      <c r="BA159">
        <f>BB159+15</f>
        <v>38</v>
      </c>
      <c r="BB159">
        <f>BC159+15</f>
        <v>23</v>
      </c>
      <c r="BC159">
        <f>BD159+8</f>
        <v>8</v>
      </c>
      <c r="BD159">
        <v>0</v>
      </c>
      <c r="BE159">
        <f>AX159+15</f>
        <v>98</v>
      </c>
      <c r="BF159">
        <f>BE159+15</f>
        <v>113</v>
      </c>
      <c r="BG159">
        <f>BF159+15</f>
        <v>128</v>
      </c>
      <c r="BH159">
        <f>BG159+15</f>
        <v>143</v>
      </c>
      <c r="BI159">
        <f>BH159+15</f>
        <v>158</v>
      </c>
      <c r="BJ159">
        <f>BI159+15</f>
        <v>173</v>
      </c>
      <c r="BL159">
        <f>BK159+15</f>
        <v>15</v>
      </c>
      <c r="BM159">
        <f>BL159+15</f>
        <v>30</v>
      </c>
      <c r="BN159">
        <f>BM159+15</f>
        <v>45</v>
      </c>
    </row>
    <row r="160" spans="9:66" x14ac:dyDescent="0.3">
      <c r="I160" s="14">
        <f ca="1">IF('Drop-down'!$BA$3="vul in",0,'Drop-down'!$BA$2)</f>
        <v>0</v>
      </c>
      <c r="O160" t="s">
        <v>6</v>
      </c>
      <c r="P160" s="15">
        <v>1</v>
      </c>
      <c r="Q160" s="15"/>
      <c r="X160" t="s">
        <v>75</v>
      </c>
      <c r="Y160" s="19" t="e" cm="1">
        <f t="array" aca="1" ref="Y160" ca="1">INDEX(Datablad!$H$102:$BQ$113,Rekenblad!AB160,Rekenblad!AA160)</f>
        <v>#N/A</v>
      </c>
      <c r="AA160" t="e">
        <f ca="1">AF155+AF156-1</f>
        <v>#N/A</v>
      </c>
      <c r="AB160">
        <v>4</v>
      </c>
      <c r="AD160">
        <v>1</v>
      </c>
      <c r="AE160" s="15">
        <v>4</v>
      </c>
      <c r="AF160" s="15">
        <v>5</v>
      </c>
      <c r="AL160" s="58" t="str">
        <f ca="1">I163</f>
        <v>Z</v>
      </c>
      <c r="AQ160" t="s">
        <v>75</v>
      </c>
      <c r="AR160" s="19" cm="1">
        <f t="array" aca="1" ref="AR160" ca="1">INDEX(Datablad!$H$123:$DU$134,Rekenblad!AU160,Rekenblad!AT160)</f>
        <v>0.36</v>
      </c>
      <c r="AT160">
        <f ca="1">$AX166+$AX164</f>
        <v>7</v>
      </c>
      <c r="AU160">
        <v>4</v>
      </c>
      <c r="AW160" t="s">
        <v>271</v>
      </c>
    </row>
    <row r="161" spans="9:66" x14ac:dyDescent="0.3">
      <c r="I161" t="s">
        <v>378</v>
      </c>
      <c r="O161" t="s">
        <v>7</v>
      </c>
      <c r="P161" s="15">
        <v>1</v>
      </c>
      <c r="Q161" s="15"/>
      <c r="X161" t="s">
        <v>76</v>
      </c>
      <c r="Y161" s="19" t="e" cm="1">
        <f t="array" aca="1" ref="Y161" ca="1">INDEX(Datablad!$H$102:$BQ$113,Rekenblad!AB161,Rekenblad!AA161)</f>
        <v>#N/A</v>
      </c>
      <c r="AA161" t="e">
        <f ca="1">AF155+AF156-1</f>
        <v>#N/A</v>
      </c>
      <c r="AB161">
        <v>5</v>
      </c>
      <c r="AD161">
        <v>2</v>
      </c>
      <c r="AE161" s="15">
        <v>2</v>
      </c>
      <c r="AF161" s="15">
        <v>2</v>
      </c>
      <c r="AQ161" t="s">
        <v>76</v>
      </c>
      <c r="AR161" s="19" cm="1">
        <f t="array" aca="1" ref="AR161" ca="1">INDEX(Datablad!$H$123:$DU$134,Rekenblad!AU161,Rekenblad!AT161)</f>
        <v>0.34</v>
      </c>
      <c r="AT161">
        <f ca="1">$AX166+$AX164</f>
        <v>7</v>
      </c>
      <c r="AU161">
        <v>5</v>
      </c>
      <c r="AW161" t="s">
        <v>248</v>
      </c>
      <c r="AX161">
        <f>BJ158</f>
        <v>12</v>
      </c>
      <c r="AY161">
        <f>BI158</f>
        <v>11</v>
      </c>
      <c r="AZ161">
        <f>BH158</f>
        <v>10</v>
      </c>
      <c r="BA161">
        <f>BG158</f>
        <v>9</v>
      </c>
      <c r="BB161">
        <f>BF158</f>
        <v>8</v>
      </c>
      <c r="BC161">
        <f>BE158</f>
        <v>7</v>
      </c>
      <c r="BD161">
        <f t="shared" ref="BD161:BD162" si="80">AX158</f>
        <v>0</v>
      </c>
      <c r="BE161">
        <f t="shared" ref="BE161:BE162" si="81">AY158</f>
        <v>1</v>
      </c>
      <c r="BF161">
        <f t="shared" ref="BF161:BF162" si="82">AZ158</f>
        <v>2</v>
      </c>
      <c r="BG161">
        <f t="shared" ref="BG161:BG162" si="83">BA158</f>
        <v>3</v>
      </c>
      <c r="BH161">
        <f t="shared" ref="BH161:BH162" si="84">BB158</f>
        <v>4</v>
      </c>
      <c r="BI161">
        <f t="shared" ref="BI161:BI162" si="85">BC158</f>
        <v>5</v>
      </c>
      <c r="BJ161">
        <f t="shared" ref="BJ161:BJ162" si="86">BD158</f>
        <v>6</v>
      </c>
      <c r="BL161">
        <f t="shared" ref="BL161:BL162" si="87">BF158</f>
        <v>8</v>
      </c>
      <c r="BM161">
        <f t="shared" ref="BM161:BM162" si="88">BG158</f>
        <v>9</v>
      </c>
      <c r="BN161">
        <f t="shared" ref="BN161:BN162" si="89">BH158</f>
        <v>10</v>
      </c>
    </row>
    <row r="162" spans="9:66" x14ac:dyDescent="0.3">
      <c r="I162" s="58" t="str">
        <f>M130</f>
        <v>ho</v>
      </c>
      <c r="O162" t="s">
        <v>8</v>
      </c>
      <c r="P162" s="15">
        <v>1</v>
      </c>
      <c r="Q162" s="15"/>
      <c r="X162" t="s">
        <v>77</v>
      </c>
      <c r="Y162" s="19" t="e" cm="1">
        <f t="array" aca="1" ref="Y162" ca="1">INDEX(Datablad!$H$102:$BQ$113,Rekenblad!AB162,Rekenblad!AA162)</f>
        <v>#N/A</v>
      </c>
      <c r="AA162" t="e">
        <f ca="1">AF155+AF156-1</f>
        <v>#N/A</v>
      </c>
      <c r="AB162">
        <v>6</v>
      </c>
      <c r="AD162">
        <v>2</v>
      </c>
      <c r="AE162" s="15">
        <v>3</v>
      </c>
      <c r="AF162" s="15">
        <v>4</v>
      </c>
      <c r="AQ162" t="s">
        <v>77</v>
      </c>
      <c r="AR162" s="19" cm="1">
        <f t="array" aca="1" ref="AR162" ca="1">INDEX(Datablad!$H$123:$DU$134,Rekenblad!AU162,Rekenblad!AT162)</f>
        <v>0.37</v>
      </c>
      <c r="AT162">
        <f ca="1">$AX166+$AX164</f>
        <v>7</v>
      </c>
      <c r="AU162">
        <v>6</v>
      </c>
      <c r="AW162" t="s">
        <v>268</v>
      </c>
      <c r="AX162">
        <f>BJ159</f>
        <v>173</v>
      </c>
      <c r="AY162">
        <f>BI159</f>
        <v>158</v>
      </c>
      <c r="AZ162">
        <f>BH159</f>
        <v>143</v>
      </c>
      <c r="BA162">
        <f>BG159</f>
        <v>128</v>
      </c>
      <c r="BB162">
        <f>BF159</f>
        <v>113</v>
      </c>
      <c r="BC162">
        <f>BE159</f>
        <v>98</v>
      </c>
      <c r="BD162">
        <f t="shared" si="80"/>
        <v>83</v>
      </c>
      <c r="BE162">
        <f t="shared" si="81"/>
        <v>68</v>
      </c>
      <c r="BF162">
        <f t="shared" si="82"/>
        <v>53</v>
      </c>
      <c r="BG162">
        <f t="shared" si="83"/>
        <v>38</v>
      </c>
      <c r="BH162">
        <f t="shared" si="84"/>
        <v>23</v>
      </c>
      <c r="BI162">
        <f t="shared" si="85"/>
        <v>8</v>
      </c>
      <c r="BJ162">
        <f t="shared" si="86"/>
        <v>0</v>
      </c>
      <c r="BL162">
        <f t="shared" si="87"/>
        <v>113</v>
      </c>
      <c r="BM162">
        <f t="shared" si="88"/>
        <v>128</v>
      </c>
      <c r="BN162">
        <f t="shared" si="89"/>
        <v>143</v>
      </c>
    </row>
    <row r="163" spans="9:66" x14ac:dyDescent="0.3">
      <c r="I163" t="str">
        <f ca="1">IF(I160&lt;15,"Z",IF(I162="ho","Z",I162))</f>
        <v>Z</v>
      </c>
      <c r="O163" t="s">
        <v>9</v>
      </c>
      <c r="P163" s="15">
        <v>1</v>
      </c>
      <c r="Q163" s="15"/>
      <c r="X163" t="s">
        <v>78</v>
      </c>
      <c r="Y163" s="19" t="e" cm="1">
        <f t="array" aca="1" ref="Y163" ca="1">INDEX(Datablad!$H$102:$BQ$113,Rekenblad!AB163,Rekenblad!AA163)</f>
        <v>#N/A</v>
      </c>
      <c r="AA163" t="e">
        <f ca="1">AF155+AF156-1</f>
        <v>#N/A</v>
      </c>
      <c r="AB163">
        <v>7</v>
      </c>
      <c r="AD163">
        <v>2</v>
      </c>
      <c r="AE163" s="15">
        <v>4</v>
      </c>
      <c r="AF163" s="15">
        <v>6</v>
      </c>
      <c r="AQ163" t="s">
        <v>78</v>
      </c>
      <c r="AR163" s="19" cm="1">
        <f t="array" aca="1" ref="AR163" ca="1">INDEX(Datablad!$H$123:$DU$134,Rekenblad!AU163,Rekenblad!AT163)</f>
        <v>0.41</v>
      </c>
      <c r="AT163">
        <f ca="1">$AX166+$AX164</f>
        <v>7</v>
      </c>
      <c r="AU163">
        <v>7</v>
      </c>
      <c r="AW163" t="s">
        <v>174</v>
      </c>
      <c r="AX163">
        <f ca="1">AL157</f>
        <v>0</v>
      </c>
    </row>
    <row r="164" spans="9:66" x14ac:dyDescent="0.3">
      <c r="I164" t="s">
        <v>371</v>
      </c>
      <c r="O164" t="s">
        <v>10</v>
      </c>
      <c r="P164" s="15">
        <v>1</v>
      </c>
      <c r="Q164" s="15"/>
      <c r="X164" t="s">
        <v>79</v>
      </c>
      <c r="Y164" s="19" t="e" cm="1">
        <f t="array" aca="1" ref="Y164" ca="1">INDEX(Datablad!$H$102:$BQ$113,Rekenblad!AB164,Rekenblad!AA164)</f>
        <v>#N/A</v>
      </c>
      <c r="AA164" t="e">
        <f ca="1">AF155+AF156-1</f>
        <v>#N/A</v>
      </c>
      <c r="AB164">
        <v>8</v>
      </c>
      <c r="AQ164" t="s">
        <v>79</v>
      </c>
      <c r="AR164" s="19" cm="1">
        <f t="array" aca="1" ref="AR164" ca="1">INDEX(Datablad!$H$123:$DU$134,Rekenblad!AU164,Rekenblad!AT164)</f>
        <v>0.37</v>
      </c>
      <c r="AT164">
        <f ca="1">$AX166+$AX164</f>
        <v>7</v>
      </c>
      <c r="AU164">
        <v>8</v>
      </c>
      <c r="AW164" t="s">
        <v>269</v>
      </c>
      <c r="AX164">
        <f ca="1">IF(AX163&gt;=AX162,AX161,IF(AX163&gt;=AY162,AY161,IF(AX163&gt;=AZ162,AZ161,IF(AX163&gt;=BA162,BA161,IF(AX163&gt;=BB162,BB161,IF(AX163&gt;=BC162,BC161,IF(AX163&gt;=BD162,BD161,IF(AX163&gt;=BE162,BE161,IF(AX163&gt;=BF162,BF161,IF(AX163&gt;=BG162,BG161,IF(AX163&gt;=BH162,BH161,IF(AX163&gt;=BI162,BI161,IF(AX163&gt;=BJ162,BJ161)))))))))))))</f>
        <v>6</v>
      </c>
    </row>
    <row r="165" spans="9:66" x14ac:dyDescent="0.3">
      <c r="O165" t="s">
        <v>11</v>
      </c>
      <c r="P165" s="15">
        <v>1</v>
      </c>
      <c r="Q165" s="15"/>
      <c r="X165" t="s">
        <v>80</v>
      </c>
      <c r="Y165" s="19" t="e" cm="1">
        <f t="array" aca="1" ref="Y165" ca="1">INDEX(Datablad!$H$102:$BQ$113,Rekenblad!AB165,Rekenblad!AA165)</f>
        <v>#N/A</v>
      </c>
      <c r="AA165" t="e">
        <f ca="1">AF155+AF156-1</f>
        <v>#N/A</v>
      </c>
      <c r="AB165">
        <v>9</v>
      </c>
      <c r="AQ165" t="s">
        <v>80</v>
      </c>
      <c r="AR165" s="19" cm="1">
        <f t="array" aca="1" ref="AR165" ca="1">INDEX(Datablad!$H$123:$DU$134,Rekenblad!AU165,Rekenblad!AT165)</f>
        <v>0.43</v>
      </c>
      <c r="AT165">
        <f ca="1">$AX166+$AX164</f>
        <v>7</v>
      </c>
      <c r="AU165">
        <v>9</v>
      </c>
    </row>
    <row r="166" spans="9:66" x14ac:dyDescent="0.3">
      <c r="O166" t="s">
        <v>12</v>
      </c>
      <c r="P166" s="15">
        <v>1</v>
      </c>
      <c r="Q166" s="15"/>
      <c r="X166" t="s">
        <v>81</v>
      </c>
      <c r="Y166" s="19" t="e" cm="1">
        <f t="array" aca="1" ref="Y166" ca="1">INDEX(Datablad!$H$102:$BQ$113,Rekenblad!AB166,Rekenblad!AA166)</f>
        <v>#N/A</v>
      </c>
      <c r="AA166" t="e">
        <f ca="1">AF155+AF156-1</f>
        <v>#N/A</v>
      </c>
      <c r="AB166">
        <v>10</v>
      </c>
      <c r="AQ166" t="s">
        <v>81</v>
      </c>
      <c r="AR166" s="19" cm="1">
        <f t="array" aca="1" ref="AR166" ca="1">INDEX(Datablad!$H$123:$DU$134,Rekenblad!AU166,Rekenblad!AT166)</f>
        <v>0.48</v>
      </c>
      <c r="AT166">
        <f ca="1">$AX166+$AX164</f>
        <v>7</v>
      </c>
      <c r="AU166">
        <v>10</v>
      </c>
      <c r="AX166">
        <f ca="1">HLOOKUP(AL160,Datablad!$H$115:$DU$116,2,FALSE)</f>
        <v>1</v>
      </c>
      <c r="AY166" t="s">
        <v>272</v>
      </c>
    </row>
    <row r="167" spans="9:66" x14ac:dyDescent="0.3">
      <c r="O167" t="s">
        <v>13</v>
      </c>
      <c r="P167" s="15">
        <v>1</v>
      </c>
      <c r="Q167" s="15"/>
      <c r="X167" t="s">
        <v>82</v>
      </c>
      <c r="Y167" s="19" t="e" cm="1">
        <f t="array" aca="1" ref="Y167" ca="1">INDEX(Datablad!$H$102:$BQ$113,Rekenblad!AB167,Rekenblad!AA167)</f>
        <v>#N/A</v>
      </c>
      <c r="AA167" t="e">
        <f ca="1">AF155+AF156-1</f>
        <v>#N/A</v>
      </c>
      <c r="AB167">
        <v>11</v>
      </c>
      <c r="AQ167" t="s">
        <v>82</v>
      </c>
      <c r="AR167" s="19" cm="1">
        <f t="array" aca="1" ref="AR167" ca="1">INDEX(Datablad!$H$123:$DU$134,Rekenblad!AU167,Rekenblad!AT167)</f>
        <v>0.56000000000000005</v>
      </c>
      <c r="AT167">
        <f ca="1">$AX166+$AX164</f>
        <v>7</v>
      </c>
      <c r="AU167">
        <v>11</v>
      </c>
      <c r="AY167" t="s">
        <v>273</v>
      </c>
    </row>
    <row r="168" spans="9:66" x14ac:dyDescent="0.3">
      <c r="O168" t="s">
        <v>14</v>
      </c>
      <c r="P168" s="15">
        <v>1</v>
      </c>
      <c r="Q168" s="15"/>
      <c r="X168" t="s">
        <v>83</v>
      </c>
      <c r="Y168" s="19" t="e" cm="1">
        <f t="array" aca="1" ref="Y168" ca="1">INDEX(Datablad!$H$102:$BQ$113,Rekenblad!AB168,Rekenblad!AA168)</f>
        <v>#N/A</v>
      </c>
      <c r="AA168" t="e">
        <f ca="1">AF155+AF156-1</f>
        <v>#N/A</v>
      </c>
      <c r="AB168">
        <v>12</v>
      </c>
      <c r="AQ168" t="s">
        <v>83</v>
      </c>
      <c r="AR168" s="19" cm="1">
        <f t="array" aca="1" ref="AR168" ca="1">INDEX(Datablad!$H$123:$DU$134,Rekenblad!AU168,Rekenblad!AT168)</f>
        <v>0.6</v>
      </c>
      <c r="AT168">
        <f ca="1">$AX166+$AX164</f>
        <v>7</v>
      </c>
      <c r="AU168">
        <v>12</v>
      </c>
      <c r="AY168" s="15"/>
    </row>
    <row r="169" spans="9:66" x14ac:dyDescent="0.3">
      <c r="T169" s="15"/>
      <c r="U169" s="15"/>
      <c r="V169" s="15"/>
      <c r="W169" s="15"/>
      <c r="X169" s="15"/>
      <c r="Y169" s="15"/>
      <c r="Z169" s="15"/>
      <c r="AA169" s="15"/>
      <c r="AB169" s="15"/>
    </row>
    <row r="171" spans="9:66" x14ac:dyDescent="0.3">
      <c r="I171" s="1" t="s">
        <v>242</v>
      </c>
      <c r="M171" t="str">
        <f t="shared" ref="M171" si="90">P149</f>
        <v>januari</v>
      </c>
      <c r="N171" t="str">
        <f t="shared" ref="N171:N172" si="91">Q149</f>
        <v>februari</v>
      </c>
      <c r="O171" t="str">
        <f t="shared" ref="O171:O172" si="92">R149</f>
        <v>maart</v>
      </c>
      <c r="P171" t="str">
        <f t="shared" ref="P171:P172" si="93">S149</f>
        <v>april</v>
      </c>
      <c r="Q171" t="str">
        <f t="shared" ref="Q171:Q172" si="94">T149</f>
        <v>mei</v>
      </c>
      <c r="R171" t="str">
        <f t="shared" ref="R171:R172" si="95">U149</f>
        <v>juni</v>
      </c>
      <c r="S171" t="str">
        <f t="shared" ref="S171:S172" si="96">V149</f>
        <v>juli</v>
      </c>
      <c r="T171" t="str">
        <f t="shared" ref="T171:T172" si="97">W149</f>
        <v>augustus</v>
      </c>
      <c r="U171" t="str">
        <f t="shared" ref="U171:U172" si="98">X149</f>
        <v>september</v>
      </c>
      <c r="V171" t="str">
        <f t="shared" ref="V171:V172" si="99">Y149</f>
        <v>oktober</v>
      </c>
      <c r="W171" t="str">
        <f t="shared" ref="W171:W172" si="100">Z149</f>
        <v>november</v>
      </c>
      <c r="X171" t="str">
        <f t="shared" ref="X171:X172" si="101">AA149</f>
        <v>december</v>
      </c>
    </row>
    <row r="172" spans="9:66" x14ac:dyDescent="0.3">
      <c r="I172" s="1"/>
      <c r="L172" t="s">
        <v>114</v>
      </c>
      <c r="M172">
        <f ca="1">P150</f>
        <v>0.55000000000000004</v>
      </c>
      <c r="N172">
        <f t="shared" ca="1" si="91"/>
        <v>0.57999999999999996</v>
      </c>
      <c r="O172">
        <f t="shared" ca="1" si="92"/>
        <v>0.49</v>
      </c>
      <c r="P172">
        <f t="shared" ca="1" si="93"/>
        <v>0.36</v>
      </c>
      <c r="Q172">
        <f t="shared" ca="1" si="94"/>
        <v>0.34</v>
      </c>
      <c r="R172">
        <f t="shared" ca="1" si="95"/>
        <v>0.37</v>
      </c>
      <c r="S172">
        <f t="shared" ca="1" si="96"/>
        <v>0.41</v>
      </c>
      <c r="T172">
        <f t="shared" ca="1" si="97"/>
        <v>0.37</v>
      </c>
      <c r="U172">
        <f t="shared" ca="1" si="98"/>
        <v>0.43</v>
      </c>
      <c r="V172">
        <f t="shared" ca="1" si="99"/>
        <v>0.48</v>
      </c>
      <c r="W172">
        <f t="shared" ca="1" si="100"/>
        <v>0.56000000000000005</v>
      </c>
      <c r="X172">
        <f t="shared" ca="1" si="101"/>
        <v>0.6</v>
      </c>
    </row>
    <row r="173" spans="9:66" x14ac:dyDescent="0.3">
      <c r="I173" s="1" t="s">
        <v>244</v>
      </c>
    </row>
    <row r="174" spans="9:66" x14ac:dyDescent="0.3">
      <c r="I174" s="4" t="s">
        <v>114</v>
      </c>
      <c r="J174" s="4" t="s">
        <v>243</v>
      </c>
      <c r="L174" t="s">
        <v>109</v>
      </c>
      <c r="M174" s="18">
        <f ca="1">IF(M172&lt;=0.8,$J$107,(VLOOKUP(M172,$I$87:$J$107,2,FALSE)))</f>
        <v>0.75</v>
      </c>
      <c r="N174" s="18">
        <f t="shared" ref="N174:X174" ca="1" si="102">IF(N172&lt;=0.8,$J$107,(VLOOKUP(N172,$I$87:$J$107,2,FALSE)))</f>
        <v>0.75</v>
      </c>
      <c r="O174" s="18">
        <f t="shared" ca="1" si="102"/>
        <v>0.75</v>
      </c>
      <c r="P174" s="18">
        <f t="shared" ca="1" si="102"/>
        <v>0.75</v>
      </c>
      <c r="Q174" s="18">
        <f t="shared" ca="1" si="102"/>
        <v>0.75</v>
      </c>
      <c r="R174" s="18">
        <f t="shared" ca="1" si="102"/>
        <v>0.75</v>
      </c>
      <c r="S174" s="18">
        <f t="shared" ca="1" si="102"/>
        <v>0.75</v>
      </c>
      <c r="T174" s="18">
        <f t="shared" ca="1" si="102"/>
        <v>0.75</v>
      </c>
      <c r="U174" s="18">
        <f t="shared" ca="1" si="102"/>
        <v>0.75</v>
      </c>
      <c r="V174" s="18">
        <f t="shared" ca="1" si="102"/>
        <v>0.75</v>
      </c>
      <c r="W174" s="18">
        <f t="shared" ca="1" si="102"/>
        <v>0.75</v>
      </c>
      <c r="X174" s="18">
        <f t="shared" ca="1" si="102"/>
        <v>0.75</v>
      </c>
    </row>
    <row r="175" spans="9:66" x14ac:dyDescent="0.3">
      <c r="I175" s="4">
        <v>1</v>
      </c>
      <c r="J175" s="4">
        <v>1</v>
      </c>
    </row>
    <row r="176" spans="9:66" x14ac:dyDescent="0.3">
      <c r="I176" s="4">
        <v>0.99</v>
      </c>
      <c r="J176" s="4">
        <v>0.99</v>
      </c>
    </row>
    <row r="177" spans="6:10" x14ac:dyDescent="0.3">
      <c r="I177" s="4">
        <v>0.98</v>
      </c>
      <c r="J177" s="4">
        <v>0.98</v>
      </c>
    </row>
    <row r="178" spans="6:10" x14ac:dyDescent="0.3">
      <c r="I178" s="4">
        <v>0.97</v>
      </c>
      <c r="J178" s="4">
        <v>0.97</v>
      </c>
    </row>
    <row r="179" spans="6:10" x14ac:dyDescent="0.3">
      <c r="I179" s="4">
        <v>0.96</v>
      </c>
      <c r="J179" s="4">
        <v>0.96</v>
      </c>
    </row>
    <row r="180" spans="6:10" x14ac:dyDescent="0.3">
      <c r="I180" s="4">
        <v>0.95</v>
      </c>
      <c r="J180" s="4">
        <v>0.95</v>
      </c>
    </row>
    <row r="181" spans="6:10" x14ac:dyDescent="0.3">
      <c r="I181" s="4">
        <v>0.94</v>
      </c>
      <c r="J181" s="4">
        <f>0.89+4/5*0.06</f>
        <v>0.93800000000000006</v>
      </c>
    </row>
    <row r="182" spans="6:10" x14ac:dyDescent="0.3">
      <c r="I182" s="4">
        <v>0.93</v>
      </c>
      <c r="J182" s="4">
        <f>0.89+3/5*0.06</f>
        <v>0.92600000000000005</v>
      </c>
    </row>
    <row r="183" spans="6:10" x14ac:dyDescent="0.3">
      <c r="F183" s="15"/>
      <c r="G183" s="15"/>
      <c r="I183" s="4">
        <v>0.92</v>
      </c>
      <c r="J183" s="4">
        <f>0.89+2/5*0.06</f>
        <v>0.91400000000000003</v>
      </c>
    </row>
    <row r="184" spans="6:10" x14ac:dyDescent="0.3">
      <c r="I184" s="4">
        <v>0.91</v>
      </c>
      <c r="J184" s="4">
        <f>0.89+1/5*0.06</f>
        <v>0.90200000000000002</v>
      </c>
    </row>
    <row r="185" spans="6:10" x14ac:dyDescent="0.3">
      <c r="I185" s="4">
        <v>0.9</v>
      </c>
      <c r="J185" s="4">
        <v>0.89</v>
      </c>
    </row>
    <row r="186" spans="6:10" x14ac:dyDescent="0.3">
      <c r="I186" s="4">
        <v>0.89</v>
      </c>
      <c r="J186" s="4">
        <f>0.82+4/5*0.07</f>
        <v>0.876</v>
      </c>
    </row>
    <row r="187" spans="6:10" x14ac:dyDescent="0.3">
      <c r="I187" s="4">
        <v>0.88</v>
      </c>
      <c r="J187" s="4">
        <f>0.82+3/5*0.07</f>
        <v>0.86199999999999999</v>
      </c>
    </row>
    <row r="188" spans="6:10" x14ac:dyDescent="0.3">
      <c r="I188" s="4">
        <v>0.87</v>
      </c>
      <c r="J188" s="4">
        <f>0.82+2/5*0.07</f>
        <v>0.84799999999999998</v>
      </c>
    </row>
    <row r="189" spans="6:10" x14ac:dyDescent="0.3">
      <c r="I189" s="4">
        <v>0.86</v>
      </c>
      <c r="J189" s="4">
        <f>0.82+1/5*0.07</f>
        <v>0.83399999999999996</v>
      </c>
    </row>
    <row r="190" spans="6:10" x14ac:dyDescent="0.3">
      <c r="I190" s="4">
        <v>0.85</v>
      </c>
      <c r="J190" s="4">
        <v>0.82</v>
      </c>
    </row>
    <row r="191" spans="6:10" x14ac:dyDescent="0.3">
      <c r="I191" s="4">
        <v>0.84</v>
      </c>
      <c r="J191" s="4">
        <f>0.75+4/5*0.07</f>
        <v>0.80600000000000005</v>
      </c>
    </row>
    <row r="192" spans="6:10" x14ac:dyDescent="0.3">
      <c r="I192" s="4">
        <v>0.83</v>
      </c>
      <c r="J192" s="4">
        <f>0.75+3/5*0.07</f>
        <v>0.79200000000000004</v>
      </c>
    </row>
    <row r="193" spans="2:64" x14ac:dyDescent="0.3">
      <c r="I193" s="4">
        <v>0.82</v>
      </c>
      <c r="J193" s="4">
        <f>0.75+2/5*0.07</f>
        <v>0.77800000000000002</v>
      </c>
    </row>
    <row r="194" spans="2:64" x14ac:dyDescent="0.3">
      <c r="I194" s="4">
        <v>0.81</v>
      </c>
      <c r="J194" s="4">
        <f>0.75+1/5*0.07</f>
        <v>0.76400000000000001</v>
      </c>
    </row>
    <row r="195" spans="2:64" x14ac:dyDescent="0.3">
      <c r="I195" s="4">
        <v>0.8</v>
      </c>
      <c r="J195" s="4">
        <v>0.75</v>
      </c>
    </row>
    <row r="197" spans="2:64" x14ac:dyDescent="0.3">
      <c r="B197" s="29" t="s">
        <v>101</v>
      </c>
      <c r="D197" s="1" t="s">
        <v>2</v>
      </c>
      <c r="E197" s="1" t="s">
        <v>3</v>
      </c>
      <c r="F197" s="1" t="s">
        <v>4</v>
      </c>
      <c r="G197" s="1" t="s">
        <v>5</v>
      </c>
      <c r="H197" s="1" t="s">
        <v>6</v>
      </c>
      <c r="I197" s="1" t="s">
        <v>7</v>
      </c>
      <c r="J197" s="1" t="s">
        <v>8</v>
      </c>
      <c r="K197" s="1" t="s">
        <v>9</v>
      </c>
      <c r="L197" s="1" t="s">
        <v>10</v>
      </c>
      <c r="M197" s="1" t="s">
        <v>11</v>
      </c>
      <c r="N197" s="1" t="s">
        <v>12</v>
      </c>
      <c r="O197" s="1" t="s">
        <v>13</v>
      </c>
      <c r="P197" s="1" t="s">
        <v>14</v>
      </c>
      <c r="BL197" t="s">
        <v>60</v>
      </c>
    </row>
    <row r="198" spans="2:64" x14ac:dyDescent="0.3">
      <c r="C198" t="s">
        <v>98</v>
      </c>
      <c r="D198">
        <f ca="1">SUM(E198:P198)</f>
        <v>0</v>
      </c>
      <c r="E198">
        <f ca="1">(E199*E200*E204*E206*E207)/E208</f>
        <v>0</v>
      </c>
      <c r="F198">
        <f t="shared" ref="F198:P198" ca="1" si="103">(F199*F200*F204*F206*F207)/F208</f>
        <v>0</v>
      </c>
      <c r="G198">
        <f t="shared" ca="1" si="103"/>
        <v>0</v>
      </c>
      <c r="H198">
        <f t="shared" ca="1" si="103"/>
        <v>0</v>
      </c>
      <c r="I198">
        <f t="shared" ca="1" si="103"/>
        <v>0</v>
      </c>
      <c r="J198">
        <f t="shared" ca="1" si="103"/>
        <v>0</v>
      </c>
      <c r="K198">
        <f t="shared" ca="1" si="103"/>
        <v>0</v>
      </c>
      <c r="L198">
        <f t="shared" ca="1" si="103"/>
        <v>0</v>
      </c>
      <c r="M198">
        <f t="shared" ca="1" si="103"/>
        <v>0</v>
      </c>
      <c r="N198">
        <f t="shared" ca="1" si="103"/>
        <v>0</v>
      </c>
      <c r="O198">
        <f t="shared" ca="1" si="103"/>
        <v>0</v>
      </c>
      <c r="P198">
        <f t="shared" ca="1" si="103"/>
        <v>0</v>
      </c>
      <c r="Q198" t="s">
        <v>278</v>
      </c>
    </row>
    <row r="199" spans="2:64" x14ac:dyDescent="0.3">
      <c r="C199" t="s">
        <v>106</v>
      </c>
      <c r="E199">
        <f ca="1">E209*E210*E211/1000</f>
        <v>11.457600000000001</v>
      </c>
      <c r="F199">
        <f t="shared" ref="F199:P199" ca="1" si="104">F209*F210*F211/1000</f>
        <v>19.215167999999998</v>
      </c>
      <c r="G199">
        <f t="shared" ca="1" si="104"/>
        <v>35.216495999999999</v>
      </c>
      <c r="H199">
        <f t="shared" ca="1" si="104"/>
        <v>41.601599999999998</v>
      </c>
      <c r="I199">
        <f t="shared" ca="1" si="104"/>
        <v>49.833120000000001</v>
      </c>
      <c r="J199">
        <f t="shared" ca="1" si="104"/>
        <v>55.75752</v>
      </c>
      <c r="K199">
        <f t="shared" ca="1" si="104"/>
        <v>58.262639999999998</v>
      </c>
      <c r="L199">
        <f t="shared" ca="1" si="104"/>
        <v>48.779615999999997</v>
      </c>
      <c r="M199">
        <f t="shared" ca="1" si="104"/>
        <v>38.359439999999999</v>
      </c>
      <c r="N199">
        <f t="shared" ca="1" si="104"/>
        <v>26.141184000000003</v>
      </c>
      <c r="O199">
        <f t="shared" ca="1" si="104"/>
        <v>13.829759999999998</v>
      </c>
      <c r="P199">
        <f t="shared" ca="1" si="104"/>
        <v>9.3743999999999996</v>
      </c>
      <c r="Q199" t="s">
        <v>277</v>
      </c>
    </row>
    <row r="200" spans="2:64" x14ac:dyDescent="0.3">
      <c r="C200" t="s">
        <v>107</v>
      </c>
      <c r="D200" s="60">
        <f>IF(OR('Drop-down'!$AU$4="nvt",'Drop-down'!$AU$4="nog te berekenen"),0,'Drop-down'!$AU$4/1000)</f>
        <v>0</v>
      </c>
      <c r="E200" s="28">
        <f>$D200</f>
        <v>0</v>
      </c>
      <c r="F200" s="28">
        <f t="shared" ref="F200:P200" si="105">$D200</f>
        <v>0</v>
      </c>
      <c r="G200" s="28">
        <f t="shared" si="105"/>
        <v>0</v>
      </c>
      <c r="H200" s="28">
        <f>$D200</f>
        <v>0</v>
      </c>
      <c r="I200" s="28">
        <f t="shared" si="105"/>
        <v>0</v>
      </c>
      <c r="J200" s="28">
        <f t="shared" si="105"/>
        <v>0</v>
      </c>
      <c r="K200" s="28">
        <f t="shared" si="105"/>
        <v>0</v>
      </c>
      <c r="L200" s="28">
        <f t="shared" si="105"/>
        <v>0</v>
      </c>
      <c r="M200" s="28">
        <f t="shared" si="105"/>
        <v>0</v>
      </c>
      <c r="N200" s="28">
        <f t="shared" si="105"/>
        <v>0</v>
      </c>
      <c r="O200" s="28">
        <f t="shared" si="105"/>
        <v>0</v>
      </c>
      <c r="P200" s="28">
        <f t="shared" si="105"/>
        <v>0</v>
      </c>
      <c r="Q200" t="s">
        <v>337</v>
      </c>
      <c r="BL200" t="s">
        <v>59</v>
      </c>
    </row>
    <row r="201" spans="2:64" x14ac:dyDescent="0.3">
      <c r="C201" s="27" t="s">
        <v>116</v>
      </c>
      <c r="Q201" t="s">
        <v>276</v>
      </c>
    </row>
    <row r="202" spans="2:64" x14ac:dyDescent="0.3">
      <c r="C202" s="27" t="s">
        <v>117</v>
      </c>
      <c r="Q202" t="s">
        <v>18</v>
      </c>
      <c r="BL202" t="s">
        <v>61</v>
      </c>
    </row>
    <row r="203" spans="2:64" x14ac:dyDescent="0.3">
      <c r="C203" s="27" t="s">
        <v>115</v>
      </c>
      <c r="Q203" t="s">
        <v>275</v>
      </c>
    </row>
    <row r="204" spans="2:64" x14ac:dyDescent="0.3">
      <c r="C204" t="s">
        <v>108</v>
      </c>
      <c r="D204" s="14" cm="1">
        <f t="array" ref="D204">IF('Drop-down'!$BD$4=0,0,IF('Drop-down'!$BD$4="nvt",0,INDEX(Datablad!$C$26:$E$29,'Drop-down'!$BD$4,3)))</f>
        <v>0</v>
      </c>
      <c r="E204">
        <f>$D204</f>
        <v>0</v>
      </c>
      <c r="F204">
        <f t="shared" ref="F204:O204" si="106">$D204</f>
        <v>0</v>
      </c>
      <c r="G204">
        <f t="shared" si="106"/>
        <v>0</v>
      </c>
      <c r="H204">
        <f>$D204</f>
        <v>0</v>
      </c>
      <c r="I204">
        <f t="shared" si="106"/>
        <v>0</v>
      </c>
      <c r="J204">
        <f t="shared" si="106"/>
        <v>0</v>
      </c>
      <c r="K204">
        <f t="shared" si="106"/>
        <v>0</v>
      </c>
      <c r="L204">
        <f t="shared" si="106"/>
        <v>0</v>
      </c>
      <c r="M204">
        <f t="shared" si="106"/>
        <v>0</v>
      </c>
      <c r="N204">
        <f t="shared" si="106"/>
        <v>0</v>
      </c>
      <c r="O204">
        <f t="shared" si="106"/>
        <v>0</v>
      </c>
      <c r="P204">
        <f>$D204</f>
        <v>0</v>
      </c>
      <c r="Q204" t="s">
        <v>112</v>
      </c>
      <c r="BL204" t="s">
        <v>62</v>
      </c>
    </row>
    <row r="205" spans="2:64" x14ac:dyDescent="0.3">
      <c r="C205" t="s">
        <v>118</v>
      </c>
      <c r="D205" s="14" t="str">
        <f>'Drop-down'!$BD$4</f>
        <v>nvt</v>
      </c>
      <c r="Q205" t="s">
        <v>274</v>
      </c>
    </row>
    <row r="206" spans="2:64" x14ac:dyDescent="0.3">
      <c r="C206" t="s">
        <v>109</v>
      </c>
      <c r="E206">
        <f ca="1">M262</f>
        <v>0.75</v>
      </c>
      <c r="F206">
        <f ca="1">N262</f>
        <v>0.75</v>
      </c>
      <c r="G206">
        <f t="shared" ref="G206" ca="1" si="107">O262</f>
        <v>0.75</v>
      </c>
      <c r="H206">
        <f t="shared" ref="H206" ca="1" si="108">P262</f>
        <v>0.75</v>
      </c>
      <c r="I206">
        <f t="shared" ref="I206" ca="1" si="109">Q262</f>
        <v>0.75</v>
      </c>
      <c r="J206">
        <f t="shared" ref="J206" ca="1" si="110">R262</f>
        <v>0.75</v>
      </c>
      <c r="K206">
        <f t="shared" ref="K206" ca="1" si="111">S262</f>
        <v>0.75</v>
      </c>
      <c r="L206">
        <f t="shared" ref="L206" ca="1" si="112">T262</f>
        <v>0.75</v>
      </c>
      <c r="M206">
        <f t="shared" ref="M206" ca="1" si="113">U262</f>
        <v>0.75</v>
      </c>
      <c r="N206">
        <f t="shared" ref="N206" ca="1" si="114">V262</f>
        <v>0.75</v>
      </c>
      <c r="O206">
        <f t="shared" ref="O206" ca="1" si="115">W262</f>
        <v>0.75</v>
      </c>
      <c r="P206">
        <f t="shared" ref="P206" ca="1" si="116">X262</f>
        <v>0.75</v>
      </c>
      <c r="Q206" t="s">
        <v>194</v>
      </c>
      <c r="BL206" t="s">
        <v>57</v>
      </c>
    </row>
    <row r="207" spans="2:64" x14ac:dyDescent="0.3">
      <c r="C207" t="s">
        <v>110</v>
      </c>
      <c r="E207">
        <f>Datablad!$E$47</f>
        <v>0.95</v>
      </c>
      <c r="F207">
        <f>Datablad!$E$47</f>
        <v>0.95</v>
      </c>
      <c r="G207">
        <f>Datablad!$E$47</f>
        <v>0.95</v>
      </c>
      <c r="H207">
        <f>Datablad!$E$47</f>
        <v>0.95</v>
      </c>
      <c r="I207">
        <f>Datablad!$E$47</f>
        <v>0.95</v>
      </c>
      <c r="J207">
        <f>Datablad!$E$47</f>
        <v>0.95</v>
      </c>
      <c r="K207">
        <f>Datablad!$E$47</f>
        <v>0.95</v>
      </c>
      <c r="L207">
        <f>Datablad!$E$47</f>
        <v>0.95</v>
      </c>
      <c r="M207">
        <f>Datablad!$E$47</f>
        <v>0.95</v>
      </c>
      <c r="N207">
        <f>Datablad!$E$47</f>
        <v>0.95</v>
      </c>
      <c r="O207">
        <f>Datablad!$E$47</f>
        <v>0.95</v>
      </c>
      <c r="P207">
        <f>Datablad!$E$47</f>
        <v>0.95</v>
      </c>
      <c r="Q207" t="s">
        <v>304</v>
      </c>
    </row>
    <row r="208" spans="2:64" x14ac:dyDescent="0.3">
      <c r="C208" t="s">
        <v>111</v>
      </c>
      <c r="E208">
        <f>Datablad!$E$33</f>
        <v>1</v>
      </c>
      <c r="F208">
        <f>Datablad!$E$33</f>
        <v>1</v>
      </c>
      <c r="G208">
        <f>Datablad!$E$33</f>
        <v>1</v>
      </c>
      <c r="H208">
        <f>Datablad!$E$33</f>
        <v>1</v>
      </c>
      <c r="I208">
        <f>Datablad!$E$33</f>
        <v>1</v>
      </c>
      <c r="J208">
        <f>Datablad!$E$33</f>
        <v>1</v>
      </c>
      <c r="K208">
        <f>Datablad!$E$33</f>
        <v>1</v>
      </c>
      <c r="L208">
        <f>Datablad!$E$33</f>
        <v>1</v>
      </c>
      <c r="M208">
        <f>Datablad!$E$33</f>
        <v>1</v>
      </c>
      <c r="N208">
        <f>Datablad!$E$33</f>
        <v>1</v>
      </c>
      <c r="O208">
        <f>Datablad!$E$33</f>
        <v>1</v>
      </c>
      <c r="P208">
        <f>Datablad!$E$33</f>
        <v>1</v>
      </c>
      <c r="Q208" t="s">
        <v>193</v>
      </c>
    </row>
    <row r="209" spans="3:64" x14ac:dyDescent="0.3">
      <c r="C209" t="s">
        <v>113</v>
      </c>
      <c r="E209">
        <f ca="1">AW211</f>
        <v>28</v>
      </c>
      <c r="F209">
        <f t="shared" ref="F209" ca="1" si="117">AX211</f>
        <v>49.3</v>
      </c>
      <c r="G209">
        <f t="shared" ref="G209" ca="1" si="118">AY211</f>
        <v>96.6</v>
      </c>
      <c r="H209">
        <f t="shared" ref="H209" ca="1" si="119">AZ211</f>
        <v>160.5</v>
      </c>
      <c r="I209">
        <f t="shared" ref="I209" ca="1" si="120">BA211</f>
        <v>197</v>
      </c>
      <c r="J209">
        <f t="shared" ref="J209" ca="1" si="121">BB211</f>
        <v>209.3</v>
      </c>
      <c r="K209">
        <f t="shared" ref="K209" ca="1" si="122">BC211</f>
        <v>191</v>
      </c>
      <c r="L209">
        <f t="shared" ref="L209" ca="1" si="123">BD211</f>
        <v>177.2</v>
      </c>
      <c r="M209">
        <f t="shared" ref="M209" ca="1" si="124">BE211</f>
        <v>123.9</v>
      </c>
      <c r="N209">
        <f t="shared" ref="N209" ca="1" si="125">BF211</f>
        <v>73.2</v>
      </c>
      <c r="O209">
        <f t="shared" ref="O209" ca="1" si="126">BG211</f>
        <v>34.299999999999997</v>
      </c>
      <c r="P209">
        <f t="shared" ref="P209" ca="1" si="127">BH211</f>
        <v>21</v>
      </c>
      <c r="Q209" t="s">
        <v>139</v>
      </c>
    </row>
    <row r="210" spans="3:64" x14ac:dyDescent="0.3">
      <c r="C210" t="s">
        <v>84</v>
      </c>
      <c r="D210">
        <f>Datablad!$E$65</f>
        <v>8760</v>
      </c>
      <c r="E210">
        <f>Datablad!$E$53</f>
        <v>744</v>
      </c>
      <c r="F210">
        <f>Datablad!$E$54</f>
        <v>672</v>
      </c>
      <c r="G210">
        <f>Datablad!$E$55</f>
        <v>744</v>
      </c>
      <c r="H210">
        <f>Datablad!$E$56</f>
        <v>720</v>
      </c>
      <c r="I210">
        <f>Datablad!$E$57</f>
        <v>744</v>
      </c>
      <c r="J210">
        <f>Datablad!$E$58</f>
        <v>720</v>
      </c>
      <c r="K210">
        <f>Datablad!$E$59</f>
        <v>744</v>
      </c>
      <c r="L210">
        <f>Datablad!$E$60</f>
        <v>744</v>
      </c>
      <c r="M210">
        <f>Datablad!$E$61</f>
        <v>720</v>
      </c>
      <c r="N210">
        <f>Datablad!$E$62</f>
        <v>744</v>
      </c>
      <c r="O210">
        <f>Datablad!$E$63</f>
        <v>720</v>
      </c>
      <c r="P210">
        <f>Datablad!$E$64</f>
        <v>744</v>
      </c>
      <c r="Q210" t="s">
        <v>192</v>
      </c>
    </row>
    <row r="211" spans="3:64" x14ac:dyDescent="0.3">
      <c r="C211" t="s">
        <v>114</v>
      </c>
      <c r="E211">
        <f ca="1">P238</f>
        <v>0.55000000000000004</v>
      </c>
      <c r="F211">
        <f t="shared" ref="F211" ca="1" si="128">Q238</f>
        <v>0.57999999999999996</v>
      </c>
      <c r="G211">
        <f t="shared" ref="G211" ca="1" si="129">R238</f>
        <v>0.49</v>
      </c>
      <c r="H211">
        <f t="shared" ref="H211" ca="1" si="130">S238</f>
        <v>0.36</v>
      </c>
      <c r="I211">
        <f t="shared" ref="I211" ca="1" si="131">T238</f>
        <v>0.34</v>
      </c>
      <c r="J211">
        <f t="shared" ref="J211" ca="1" si="132">U238</f>
        <v>0.37</v>
      </c>
      <c r="K211">
        <f t="shared" ref="K211" ca="1" si="133">V238</f>
        <v>0.41</v>
      </c>
      <c r="L211">
        <f t="shared" ref="L211" ca="1" si="134">W238</f>
        <v>0.37</v>
      </c>
      <c r="M211">
        <f t="shared" ref="M211" ca="1" si="135">X238</f>
        <v>0.43</v>
      </c>
      <c r="N211">
        <f t="shared" ref="N211" ca="1" si="136">Y238</f>
        <v>0.48</v>
      </c>
      <c r="O211">
        <f t="shared" ref="O211" ca="1" si="137">Z238</f>
        <v>0.56000000000000005</v>
      </c>
      <c r="P211">
        <f t="shared" ref="P211" ca="1" si="138">AA238</f>
        <v>0.6</v>
      </c>
      <c r="Q211" t="s">
        <v>195</v>
      </c>
      <c r="AU211" t="s">
        <v>191</v>
      </c>
      <c r="AV211">
        <f ca="1">IF(N216&lt;30,1,IF(N216&lt;45,2,IF(N216&lt;60,3,IF(N216&lt;90,4,IF(N216&lt;135,5,IF(N216=180,7,6))))))</f>
        <v>1</v>
      </c>
      <c r="AW211" s="18">
        <f ca="1">VLOOKUP(AV211,AV216:BH222,AW213+1,FALSE)</f>
        <v>28</v>
      </c>
      <c r="AX211" s="18">
        <f ca="1">VLOOKUP(AV211,AV216:BH222,AX213+1,FALSE)</f>
        <v>49.3</v>
      </c>
      <c r="AY211" s="18">
        <f ca="1">VLOOKUP(AV211,AV216:BH222,AY213+1,FALSE)</f>
        <v>96.6</v>
      </c>
      <c r="AZ211" s="18">
        <f ca="1">VLOOKUP(AV211,AV216:BH222,AZ213+1,FALSE)</f>
        <v>160.5</v>
      </c>
      <c r="BA211" s="18">
        <f ca="1">VLOOKUP(AV211,AV216:BH222,BA213+1,FALSE)</f>
        <v>197</v>
      </c>
      <c r="BB211" s="18">
        <f ca="1">VLOOKUP(AV211,AV216:BH222,BB213+1,FALSE)</f>
        <v>209.3</v>
      </c>
      <c r="BC211" s="18">
        <f ca="1">VLOOKUP(AV211,AV216:BH222,BC213+1,FALSE)</f>
        <v>191</v>
      </c>
      <c r="BD211" s="18">
        <f ca="1">VLOOKUP(AV211,AV216:BH222,BD213+1,FALSE)</f>
        <v>177.2</v>
      </c>
      <c r="BE211" s="18">
        <f ca="1">VLOOKUP(AV211,AV216:BH222,BE213+1,FALSE)</f>
        <v>123.9</v>
      </c>
      <c r="BF211" s="18">
        <f ca="1">VLOOKUP(AV211,AV216:BH222,BF213+1,FALSE)</f>
        <v>73.2</v>
      </c>
      <c r="BG211" s="18">
        <f ca="1">VLOOKUP(AV211,AV216:BH222,BG213+1,FALSE)</f>
        <v>34.299999999999997</v>
      </c>
      <c r="BH211" s="18">
        <f ca="1">VLOOKUP(AV211,AV216:BH222,BH213+1,FALSE)</f>
        <v>21</v>
      </c>
    </row>
    <row r="212" spans="3:64" x14ac:dyDescent="0.3">
      <c r="I212" s="1" t="s">
        <v>229</v>
      </c>
      <c r="W212" s="4" t="s">
        <v>188</v>
      </c>
      <c r="AJ212" s="4" t="s">
        <v>189</v>
      </c>
      <c r="AW212" s="4" t="s">
        <v>190</v>
      </c>
    </row>
    <row r="213" spans="3:64" x14ac:dyDescent="0.3">
      <c r="W213" s="4">
        <v>1</v>
      </c>
      <c r="X213" s="4">
        <v>2</v>
      </c>
      <c r="Y213" s="4">
        <v>3</v>
      </c>
      <c r="Z213" s="4">
        <v>4</v>
      </c>
      <c r="AA213" s="4">
        <v>5</v>
      </c>
      <c r="AB213" s="4">
        <v>6</v>
      </c>
      <c r="AC213" s="4">
        <v>7</v>
      </c>
      <c r="AD213" s="4">
        <v>8</v>
      </c>
      <c r="AE213" s="4">
        <v>9</v>
      </c>
      <c r="AF213" s="4">
        <v>10</v>
      </c>
      <c r="AG213" s="4">
        <v>11</v>
      </c>
      <c r="AH213" s="4">
        <v>12</v>
      </c>
      <c r="AI213" s="10"/>
      <c r="AJ213" s="4">
        <v>1</v>
      </c>
      <c r="AK213" s="4">
        <v>2</v>
      </c>
      <c r="AL213" s="4">
        <v>3</v>
      </c>
      <c r="AM213" s="4">
        <v>4</v>
      </c>
      <c r="AN213" s="4">
        <v>5</v>
      </c>
      <c r="AO213" s="4">
        <v>6</v>
      </c>
      <c r="AP213" s="4">
        <v>7</v>
      </c>
      <c r="AQ213" s="4">
        <v>8</v>
      </c>
      <c r="AR213" s="4">
        <v>9</v>
      </c>
      <c r="AS213" s="4">
        <v>10</v>
      </c>
      <c r="AT213" s="4">
        <v>11</v>
      </c>
      <c r="AU213" s="4">
        <v>12</v>
      </c>
      <c r="AW213" s="4">
        <v>1</v>
      </c>
      <c r="AX213" s="4">
        <v>2</v>
      </c>
      <c r="AY213" s="4">
        <v>3</v>
      </c>
      <c r="AZ213" s="4">
        <v>4</v>
      </c>
      <c r="BA213" s="4">
        <v>5</v>
      </c>
      <c r="BB213" s="4">
        <v>6</v>
      </c>
      <c r="BC213" s="4">
        <v>7</v>
      </c>
      <c r="BD213" s="4">
        <v>8</v>
      </c>
      <c r="BE213" s="4">
        <v>9</v>
      </c>
      <c r="BF213" s="4">
        <v>10</v>
      </c>
      <c r="BG213" s="4">
        <v>11</v>
      </c>
      <c r="BH213" s="4">
        <v>12</v>
      </c>
    </row>
    <row r="214" spans="3:64" x14ac:dyDescent="0.3">
      <c r="L214" t="s">
        <v>366</v>
      </c>
      <c r="M214" t="s">
        <v>142</v>
      </c>
      <c r="N214" t="s">
        <v>174</v>
      </c>
      <c r="Q214" t="s">
        <v>173</v>
      </c>
      <c r="W214" s="12" t="s">
        <v>3</v>
      </c>
      <c r="X214" s="12" t="s">
        <v>4</v>
      </c>
      <c r="Y214" s="12" t="s">
        <v>5</v>
      </c>
      <c r="Z214" s="12" t="s">
        <v>6</v>
      </c>
      <c r="AA214" s="12" t="s">
        <v>7</v>
      </c>
      <c r="AB214" s="12" t="s">
        <v>8</v>
      </c>
      <c r="AC214" s="12" t="s">
        <v>9</v>
      </c>
      <c r="AD214" s="12" t="s">
        <v>10</v>
      </c>
      <c r="AE214" s="12" t="s">
        <v>11</v>
      </c>
      <c r="AF214" s="12" t="s">
        <v>12</v>
      </c>
      <c r="AG214" s="12" t="s">
        <v>13</v>
      </c>
      <c r="AH214" s="12" t="s">
        <v>14</v>
      </c>
      <c r="AI214" s="13"/>
      <c r="AJ214" s="12" t="s">
        <v>3</v>
      </c>
      <c r="AK214" s="12" t="s">
        <v>4</v>
      </c>
      <c r="AL214" s="12" t="s">
        <v>5</v>
      </c>
      <c r="AM214" s="12" t="s">
        <v>6</v>
      </c>
      <c r="AN214" s="12" t="s">
        <v>7</v>
      </c>
      <c r="AO214" s="12" t="s">
        <v>8</v>
      </c>
      <c r="AP214" s="12" t="s">
        <v>9</v>
      </c>
      <c r="AQ214" s="12" t="s">
        <v>10</v>
      </c>
      <c r="AR214" s="12" t="s">
        <v>11</v>
      </c>
      <c r="AS214" s="12" t="s">
        <v>12</v>
      </c>
      <c r="AT214" s="12" t="s">
        <v>13</v>
      </c>
      <c r="AU214" s="12" t="s">
        <v>14</v>
      </c>
      <c r="AW214" s="12" t="s">
        <v>3</v>
      </c>
      <c r="AX214" s="12" t="s">
        <v>4</v>
      </c>
      <c r="AY214" s="12" t="s">
        <v>5</v>
      </c>
      <c r="AZ214" s="12" t="s">
        <v>6</v>
      </c>
      <c r="BA214" s="12" t="s">
        <v>7</v>
      </c>
      <c r="BB214" s="12" t="s">
        <v>8</v>
      </c>
      <c r="BC214" s="12" t="s">
        <v>9</v>
      </c>
      <c r="BD214" s="12" t="s">
        <v>10</v>
      </c>
      <c r="BE214" s="12" t="s">
        <v>11</v>
      </c>
      <c r="BF214" s="12" t="s">
        <v>12</v>
      </c>
      <c r="BG214" s="12" t="s">
        <v>13</v>
      </c>
      <c r="BH214" s="12" t="s">
        <v>14</v>
      </c>
    </row>
    <row r="215" spans="3:64" x14ac:dyDescent="0.3">
      <c r="L215" t="s">
        <v>119</v>
      </c>
      <c r="N215" t="s">
        <v>119</v>
      </c>
      <c r="P215" t="s">
        <v>171</v>
      </c>
      <c r="Q215" t="s">
        <v>172</v>
      </c>
      <c r="R215" t="s">
        <v>175</v>
      </c>
      <c r="S215" t="s">
        <v>177</v>
      </c>
      <c r="T215" t="s">
        <v>178</v>
      </c>
      <c r="U215" t="s">
        <v>179</v>
      </c>
      <c r="V215" t="s">
        <v>179</v>
      </c>
      <c r="W215" s="4"/>
      <c r="X215" s="4"/>
      <c r="Y215" s="4"/>
      <c r="Z215" s="4"/>
      <c r="AA215" s="4"/>
      <c r="AB215" s="4"/>
      <c r="AC215" s="4"/>
      <c r="AD215" s="4"/>
      <c r="AE215" s="4"/>
      <c r="AF215" s="4"/>
      <c r="AG215" s="4"/>
      <c r="AH215" s="4"/>
      <c r="AI215" s="10"/>
      <c r="AJ215" s="4"/>
      <c r="AK215" s="4"/>
      <c r="AL215" s="4"/>
      <c r="AM215" s="4"/>
      <c r="AN215" s="4"/>
      <c r="AO215" s="4"/>
      <c r="AP215" s="4"/>
      <c r="AQ215" s="4"/>
      <c r="AR215" s="4"/>
      <c r="AS215" s="4"/>
      <c r="AT215" s="4"/>
      <c r="AU215" s="4"/>
      <c r="AW215" s="4"/>
      <c r="AX215" s="4"/>
      <c r="AY215" s="4"/>
      <c r="AZ215" s="4"/>
      <c r="BA215" s="4"/>
      <c r="BB215" s="4"/>
      <c r="BC215" s="4"/>
      <c r="BD215" s="4"/>
      <c r="BE215" s="4"/>
      <c r="BF215" s="4"/>
      <c r="BG215" s="4"/>
      <c r="BH215" s="4"/>
      <c r="BL215" t="s">
        <v>63</v>
      </c>
    </row>
    <row r="216" spans="3:64" x14ac:dyDescent="0.3">
      <c r="L216" s="16" t="str">
        <f>'Drop-down'!$AX$4</f>
        <v>nvt</v>
      </c>
      <c r="N216" s="14">
        <f ca="1">IF('Drop-down'!$BA$4="vul in",0,'Drop-down'!$BA$4)</f>
        <v>0</v>
      </c>
      <c r="P216">
        <v>0</v>
      </c>
      <c r="Q216">
        <v>1</v>
      </c>
      <c r="R216" t="str">
        <f ca="1">IF(N216=P216,"ja","nee")</f>
        <v>ja</v>
      </c>
      <c r="S216" t="str">
        <f ca="1">IF(AND(N216&gt;P216,N216&lt;P217),Q216,"n.v.t.")</f>
        <v>n.v.t.</v>
      </c>
      <c r="T216" t="str">
        <f t="shared" ref="T216:T222" ca="1" si="139">IF(S216="n.v.t.","n.v.t.",Q216+1)</f>
        <v>n.v.t.</v>
      </c>
      <c r="U216" t="str">
        <f ca="1">IF(S216="n.v.t.","n.v.t.",(P217-N216)/(P217-P216))</f>
        <v>n.v.t.</v>
      </c>
      <c r="V216" t="str">
        <f ca="1">IF(T216="n.v.t.","n.v.t.",(N216-P216)/(P217-P216))</f>
        <v>n.v.t.</v>
      </c>
      <c r="W216" s="4" cm="1">
        <f t="array" ref="W216">INDEX(Datablad!$E$70:$L$83,W213+2,M217)</f>
        <v>28</v>
      </c>
      <c r="X216" s="4" cm="1">
        <f t="array" ref="X216">INDEX(Datablad!$E$70:$L$83,X213+2,M217)</f>
        <v>49.3</v>
      </c>
      <c r="Y216" s="4" cm="1">
        <f t="array" ref="Y216">INDEX(Datablad!$E$70:$L$83,Y213+2,M217)</f>
        <v>96.6</v>
      </c>
      <c r="Z216" s="4" cm="1">
        <f t="array" ref="Z216">INDEX(Datablad!$E$70:$L$83,Z213+2,M217)</f>
        <v>160.5</v>
      </c>
      <c r="AA216" s="4" cm="1">
        <f t="array" ref="AA216">INDEX(Datablad!$E$70:$L$83,AA213+2,M217)</f>
        <v>197</v>
      </c>
      <c r="AB216" s="4" cm="1">
        <f t="array" ref="AB216">INDEX(Datablad!$E$70:$L$83,AB213+2,M217)</f>
        <v>209.3</v>
      </c>
      <c r="AC216" s="4" cm="1">
        <f t="array" ref="AC216">INDEX(Datablad!$E$70:$L$83,AC213+2,M217)</f>
        <v>191</v>
      </c>
      <c r="AD216" s="4" cm="1">
        <f t="array" ref="AD216">INDEX(Datablad!$E$70:$L$83,AD213+2,M217)</f>
        <v>177.2</v>
      </c>
      <c r="AE216" s="4" cm="1">
        <f t="array" ref="AE216">INDEX(Datablad!$E$70:$L$83,AE213+2,M217)</f>
        <v>123.9</v>
      </c>
      <c r="AF216" s="4" cm="1">
        <f t="array" ref="AF216">INDEX(Datablad!$E$70:$L$83,AF213+2,M217)</f>
        <v>73.2</v>
      </c>
      <c r="AG216" s="4" cm="1">
        <f t="array" ref="AG216">INDEX(Datablad!$E$70:$L$83,AG213+2,M217)</f>
        <v>34.299999999999997</v>
      </c>
      <c r="AH216" s="4" cm="1">
        <f t="array" ref="AH216">INDEX(Datablad!$E$70:$L$83,AH213+2,M217)</f>
        <v>21</v>
      </c>
      <c r="AI216" s="10"/>
      <c r="AJ216" s="4" cm="1">
        <f t="array" ref="AJ216">INDEX(Datablad!$N$70:$U$83,AJ213+2,M217)</f>
        <v>14.9</v>
      </c>
      <c r="AK216" s="4" cm="1">
        <f t="array" ref="AK216">INDEX(Datablad!$N$70:$U$83,AK213+2,M217)</f>
        <v>27.2</v>
      </c>
      <c r="AL216" s="4" cm="1">
        <f t="array" ref="AL216">INDEX(Datablad!$N$70:$U$83,AL213+2,M217)</f>
        <v>56.4</v>
      </c>
      <c r="AM216" s="4" cm="1">
        <f t="array" ref="AM216">INDEX(Datablad!$N$70:$U$83,AM213+2,M217)</f>
        <v>104.6</v>
      </c>
      <c r="AN216" s="4" cm="1">
        <f t="array" ref="AN216">INDEX(Datablad!$N$70:$U$83,AN213+2,M217)</f>
        <v>148.5</v>
      </c>
      <c r="AO216" s="4" cm="1">
        <f t="array" ref="AO216">INDEX(Datablad!$N$70:$U$83,AO213+2,M217)</f>
        <v>171</v>
      </c>
      <c r="AP216" s="4" cm="1">
        <f t="array" ref="AP216">INDEX(Datablad!$N$70:$U$83,AP213+2,M217)</f>
        <v>153</v>
      </c>
      <c r="AQ216" s="4" cm="1">
        <f t="array" ref="AQ216">INDEX(Datablad!$N$70:$U$83,AQ213+2,M217)</f>
        <v>125.8</v>
      </c>
      <c r="AR216" s="4" cm="1">
        <f t="array" ref="AR216">INDEX(Datablad!$N$70:$U$83,AR213+2,M217)</f>
        <v>73.7</v>
      </c>
      <c r="AS216" s="4" cm="1">
        <f t="array" ref="AS216">INDEX(Datablad!$N$70:$U$83,AS213+2,M217)</f>
        <v>36.299999999999997</v>
      </c>
      <c r="AT216" s="4" cm="1">
        <f t="array" ref="AT216">INDEX(Datablad!$N$70:$U$83,AT213+2,M217)</f>
        <v>18.600000000000001</v>
      </c>
      <c r="AU216" s="4" cm="1">
        <f t="array" ref="AU216">INDEX(Datablad!$N$70:$U$83,AU213+2,M217)</f>
        <v>12.2</v>
      </c>
      <c r="AV216">
        <v>1</v>
      </c>
      <c r="AW216" s="4">
        <f t="shared" ref="AW216:AW222" ca="1" si="140">IF(R216="ja",W216,IF(S216="n.v.t.","n.v.t.",U216*W216+V216*AJ216))</f>
        <v>28</v>
      </c>
      <c r="AX216" s="4">
        <f t="shared" ref="AX216:AX222" ca="1" si="141">IF(R216="ja",X216,IF(S216="n.v.t.","n.v.t.",U216*X216+V216*AK216))</f>
        <v>49.3</v>
      </c>
      <c r="AY216" s="4">
        <f t="shared" ref="AY216:AY222" ca="1" si="142">IF(R216="ja",Y216,IF(S216="n.v.t.","n.v.t.",U216*Y216+V216*AL216))</f>
        <v>96.6</v>
      </c>
      <c r="AZ216" s="4">
        <f t="shared" ref="AZ216:AZ222" ca="1" si="143">IF(R216="ja",Z216,IF(S216="n.v.t.","n.v.t.",U216*Z216+V216*AM216))</f>
        <v>160.5</v>
      </c>
      <c r="BA216" s="4">
        <f t="shared" ref="BA216:BA222" ca="1" si="144">IF(R216="ja",AA216,IF(S216="n.v.t.","n.v.t.",U216*AA216+V216*AN216))</f>
        <v>197</v>
      </c>
      <c r="BB216" s="4">
        <f t="shared" ref="BB216:BB222" ca="1" si="145">IF(R216="ja",AB216,IF(S216="n.v.t.","n.v.t.",U216*AB216+V216*AO216))</f>
        <v>209.3</v>
      </c>
      <c r="BC216" s="4">
        <f t="shared" ref="BC216:BC222" ca="1" si="146">IF(R216="ja",AC216,IF(S216="n.v.t.","n.v.t.",U216*AC216+V216*AP216))</f>
        <v>191</v>
      </c>
      <c r="BD216" s="4">
        <f t="shared" ref="BD216:BD222" ca="1" si="147">IF(R216="ja",AD216,IF(S216="n.v.t.","n.v.t.",U216*AD216+V216*AQ216))</f>
        <v>177.2</v>
      </c>
      <c r="BE216" s="4">
        <f t="shared" ref="BE216:BE222" ca="1" si="148">IF(R216="ja",AE216,IF(S216="n.v.t.","n.v.t.",U216*AE216+V216*AR216))</f>
        <v>123.9</v>
      </c>
      <c r="BF216" s="4">
        <f t="shared" ref="BF216:BF222" ca="1" si="149">IF(R216="ja",AF216,IF(S216="n.v.t.","n.v.t.",U216*AF216+V216*AS216))</f>
        <v>73.2</v>
      </c>
      <c r="BG216" s="4">
        <f t="shared" ref="BG216:BG222" ca="1" si="150">IF(R216="ja",AG216,IF(S216="n.v.t.","n.v.t.",U216*AG216+V216*AT216))</f>
        <v>34.299999999999997</v>
      </c>
      <c r="BH216" s="4">
        <f t="shared" ref="BH216:BH222" ca="1" si="151">IF(R216="ja",AH216,IF(S216="n.v.t.","n.v.t.",U216*AH216+V216*AU216))</f>
        <v>21</v>
      </c>
    </row>
    <row r="217" spans="3:64" x14ac:dyDescent="0.3">
      <c r="L217" t="s">
        <v>187</v>
      </c>
      <c r="M217" s="58">
        <f>IF(L216="nvt",1,VLOOKUP(L216,K220:M228,3,FALSE))</f>
        <v>1</v>
      </c>
      <c r="P217">
        <v>30</v>
      </c>
      <c r="Q217">
        <v>2</v>
      </c>
      <c r="R217" t="str">
        <f ca="1">IF(N216=P217,"ja","nee")</f>
        <v>nee</v>
      </c>
      <c r="S217" t="str">
        <f ca="1">IF(AND(N216&gt;P217,N216&lt;P218),Q217,"n.v.t.")</f>
        <v>n.v.t.</v>
      </c>
      <c r="T217" t="str">
        <f t="shared" ca="1" si="139"/>
        <v>n.v.t.</v>
      </c>
      <c r="U217" t="str">
        <f ca="1">IF(S217="n.v.t.","n.v.t.",(P218-N216)/(P218-P217))</f>
        <v>n.v.t.</v>
      </c>
      <c r="V217" t="str">
        <f ca="1">IF(T217="n.v.t.","n.v.t.",(N216-P217)/(P218-P217))</f>
        <v>n.v.t.</v>
      </c>
      <c r="W217" s="4" cm="1">
        <f t="array" ref="W217">INDEX(Datablad!$N$70:$U$83,W213+2,M217)</f>
        <v>14.9</v>
      </c>
      <c r="X217" s="4" cm="1">
        <f t="array" ref="X217">INDEX(Datablad!$N$70:$U$83,X213+2,M217)</f>
        <v>27.2</v>
      </c>
      <c r="Y217" s="4" cm="1">
        <f t="array" ref="Y217">INDEX(Datablad!$N$70:$U$83,Y213+2,M217)</f>
        <v>56.4</v>
      </c>
      <c r="Z217" s="4" cm="1">
        <f t="array" ref="Z217">INDEX(Datablad!$N$70:$U$83,Z213+2,M217)</f>
        <v>104.6</v>
      </c>
      <c r="AA217" s="4" cm="1">
        <f t="array" ref="AA217">INDEX(Datablad!$N$70:$U$83,AA213+2,M217)</f>
        <v>148.5</v>
      </c>
      <c r="AB217" s="4" cm="1">
        <f t="array" ref="AB217">INDEX(Datablad!$N$70:$U$83,AB213+2,M217)</f>
        <v>171</v>
      </c>
      <c r="AC217" s="4" cm="1">
        <f t="array" ref="AC217">INDEX(Datablad!$N$70:$U$83,AC213+2,M217)</f>
        <v>153</v>
      </c>
      <c r="AD217" s="4" cm="1">
        <f t="array" ref="AD217">INDEX(Datablad!$N$70:$U$83,AD213+2,M217)</f>
        <v>125.8</v>
      </c>
      <c r="AE217" s="4" cm="1">
        <f t="array" ref="AE217">INDEX(Datablad!$N$70:$U$83,AE213+2,M217)</f>
        <v>73.7</v>
      </c>
      <c r="AF217" s="4" cm="1">
        <f t="array" ref="AF217">INDEX(Datablad!$N$70:$U$83,AF213+2,M217)</f>
        <v>36.299999999999997</v>
      </c>
      <c r="AG217" s="4" cm="1">
        <f t="array" ref="AG217">INDEX(Datablad!$N$70:$U$83,AG213+2,M217)</f>
        <v>18.600000000000001</v>
      </c>
      <c r="AH217" s="4" cm="1">
        <f t="array" ref="AH217">INDEX(Datablad!$N$70:$U$83,AH213+2,M217)</f>
        <v>12.2</v>
      </c>
      <c r="AI217" s="10"/>
      <c r="AJ217" s="4" cm="1">
        <f t="array" ref="AJ217">INDEX(Datablad!$W$70:$AD$83,AJ213+2,M217)</f>
        <v>14.3</v>
      </c>
      <c r="AK217" s="4" cm="1">
        <f t="array" ref="AK217">INDEX(Datablad!$W$70:$AD$83,AK213+2,M217)</f>
        <v>25.9</v>
      </c>
      <c r="AL217" s="4" cm="1">
        <f t="array" ref="AL217">INDEX(Datablad!$W$70:$AD$83,AL213+2,M217)</f>
        <v>44.3</v>
      </c>
      <c r="AM217" s="4" cm="1">
        <f t="array" ref="AM217">INDEX(Datablad!$W$70:$AD$83,AM213+2,M217)</f>
        <v>70</v>
      </c>
      <c r="AN217" s="4" cm="1">
        <f t="array" ref="AN217">INDEX(Datablad!$W$70:$AD$83,AN213+2,M217)</f>
        <v>113.6</v>
      </c>
      <c r="AO217" s="4" cm="1">
        <f t="array" ref="AO217">INDEX(Datablad!$W$70:$AD$83,AO213+2,M217)</f>
        <v>139.6</v>
      </c>
      <c r="AP217" s="4" cm="1">
        <f t="array" ref="AP217">INDEX(Datablad!$W$70:$AD$83,AP213+2,M217)</f>
        <v>123.5</v>
      </c>
      <c r="AQ217" s="4" cm="1">
        <f t="array" ref="AQ217">INDEX(Datablad!$W$70:$AD$83,AQ213+2,M217)</f>
        <v>91.5</v>
      </c>
      <c r="AR217" s="4" cm="1">
        <f t="array" ref="AR217">INDEX(Datablad!$W$70:$AD$83,AR213+2,M217)</f>
        <v>52.9</v>
      </c>
      <c r="AS217" s="4" cm="1">
        <f t="array" ref="AS217">INDEX(Datablad!$W$70:$AD$83,AS213+2,M217)</f>
        <v>33.5</v>
      </c>
      <c r="AT217" s="4" cm="1">
        <f t="array" ref="AT217">INDEX(Datablad!$W$70:$AD$83,AT213+2,M217)</f>
        <v>17.8</v>
      </c>
      <c r="AU217" s="4" cm="1">
        <f t="array" ref="AU217">INDEX(Datablad!$W$70:$AD$83,AU213+2,M217)</f>
        <v>11.7</v>
      </c>
      <c r="AV217">
        <v>2</v>
      </c>
      <c r="AW217" s="4" t="str">
        <f t="shared" ca="1" si="140"/>
        <v>n.v.t.</v>
      </c>
      <c r="AX217" s="4" t="str">
        <f t="shared" ca="1" si="141"/>
        <v>n.v.t.</v>
      </c>
      <c r="AY217" s="4" t="str">
        <f t="shared" ca="1" si="142"/>
        <v>n.v.t.</v>
      </c>
      <c r="AZ217" s="4" t="str">
        <f t="shared" ca="1" si="143"/>
        <v>n.v.t.</v>
      </c>
      <c r="BA217" s="4" t="str">
        <f t="shared" ca="1" si="144"/>
        <v>n.v.t.</v>
      </c>
      <c r="BB217" s="4" t="str">
        <f t="shared" ca="1" si="145"/>
        <v>n.v.t.</v>
      </c>
      <c r="BC217" s="4" t="str">
        <f t="shared" ca="1" si="146"/>
        <v>n.v.t.</v>
      </c>
      <c r="BD217" s="4" t="str">
        <f t="shared" ca="1" si="147"/>
        <v>n.v.t.</v>
      </c>
      <c r="BE217" s="4" t="str">
        <f t="shared" ca="1" si="148"/>
        <v>n.v.t.</v>
      </c>
      <c r="BF217" s="4" t="str">
        <f t="shared" ca="1" si="149"/>
        <v>n.v.t.</v>
      </c>
      <c r="BG217" s="4" t="str">
        <f t="shared" ca="1" si="150"/>
        <v>n.v.t.</v>
      </c>
      <c r="BH217" s="4" t="str">
        <f t="shared" ca="1" si="151"/>
        <v>n.v.t.</v>
      </c>
      <c r="BL217" t="s">
        <v>65</v>
      </c>
    </row>
    <row r="218" spans="3:64" x14ac:dyDescent="0.3">
      <c r="M218" s="58" t="str">
        <f>IF(L216="nvt","ho",VLOOKUP(L216,K220:M228,2,FALSE))</f>
        <v>ho</v>
      </c>
      <c r="P218">
        <v>45</v>
      </c>
      <c r="Q218">
        <v>3</v>
      </c>
      <c r="R218" t="str">
        <f ca="1">IF(N216=P218,"ja","nee")</f>
        <v>nee</v>
      </c>
      <c r="S218" t="str">
        <f ca="1">IF(AND(N216&gt;P218,N216&lt;P219),Q218,"n.v.t.")</f>
        <v>n.v.t.</v>
      </c>
      <c r="T218" t="str">
        <f t="shared" ca="1" si="139"/>
        <v>n.v.t.</v>
      </c>
      <c r="U218" t="str">
        <f ca="1">IF(S218="n.v.t.","n.v.t.",(P219-N216)/(P219-P218))</f>
        <v>n.v.t.</v>
      </c>
      <c r="V218" t="str">
        <f ca="1">IF(T218="n.v.t.","n.v.t.",(N216-P218)/(P219-P218))</f>
        <v>n.v.t.</v>
      </c>
      <c r="W218" s="4" cm="1">
        <f t="array" ref="W218">INDEX(Datablad!$W$70:$AD$83,W213+2,M217)</f>
        <v>14.3</v>
      </c>
      <c r="X218" s="4" cm="1">
        <f t="array" ref="X218">INDEX(Datablad!$W$70:$AD$83,X213+2,M217)</f>
        <v>25.9</v>
      </c>
      <c r="Y218" s="4" cm="1">
        <f t="array" ref="Y218">INDEX(Datablad!$W$70:$AD$83,Y213+2,M217)</f>
        <v>44.3</v>
      </c>
      <c r="Z218" s="4" cm="1">
        <f t="array" ref="Z218">INDEX(Datablad!$W$70:$AD$83,Z213+2,M217)</f>
        <v>70</v>
      </c>
      <c r="AA218" s="4" cm="1">
        <f t="array" ref="AA218">INDEX(Datablad!$W$70:$AD$83,AA213+2,M217)</f>
        <v>113.6</v>
      </c>
      <c r="AB218" s="4" cm="1">
        <f t="array" ref="AB218">INDEX(Datablad!$W$70:$AD$83,AB213+2,M217)</f>
        <v>139.6</v>
      </c>
      <c r="AC218" s="4" cm="1">
        <f t="array" ref="AC218">INDEX(Datablad!$W$70:$AD$83,AC213+2,M217)</f>
        <v>123.5</v>
      </c>
      <c r="AD218" s="4" cm="1">
        <f t="array" ref="AD218">INDEX(Datablad!$W$70:$AD$83,AD213+2,M217)</f>
        <v>91.5</v>
      </c>
      <c r="AE218" s="4" cm="1">
        <f t="array" ref="AE218">INDEX(Datablad!$W$70:$AD$83,AE213+2,M217)</f>
        <v>52.9</v>
      </c>
      <c r="AF218" s="4" cm="1">
        <f t="array" ref="AF218">INDEX(Datablad!$W$70:$AD$83,AF213+2,M217)</f>
        <v>33.5</v>
      </c>
      <c r="AG218" s="4" cm="1">
        <f t="array" ref="AG218">INDEX(Datablad!$W$70:$AD$83,AG213+2,M217)</f>
        <v>17.8</v>
      </c>
      <c r="AH218" s="4" cm="1">
        <f t="array" ref="AH218">INDEX(Datablad!$W$70:$AD$83,AH213+2,M217)</f>
        <v>11.7</v>
      </c>
      <c r="AI218" s="10"/>
      <c r="AJ218" s="4" cm="1">
        <f t="array" ref="AJ218">INDEX(Datablad!$AF$70:$AM$83,AJ213+2,M217)</f>
        <v>13.4</v>
      </c>
      <c r="AK218" s="4" cm="1">
        <f t="array" ref="AK218">INDEX(Datablad!$AF$70:$AM$83,AK213+2,M217)</f>
        <v>24.1</v>
      </c>
      <c r="AL218" s="4" cm="1">
        <f t="array" ref="AL218">INDEX(Datablad!$AF$70:$AM$83,AL213+2,M217)</f>
        <v>41.5</v>
      </c>
      <c r="AM218" s="4" cm="1">
        <f t="array" ref="AM218">INDEX(Datablad!$AF$70:$AM$83,AM213+2,M217)</f>
        <v>57.8</v>
      </c>
      <c r="AN218" s="4" cm="1">
        <f t="array" ref="AN218">INDEX(Datablad!$AF$70:$AM$83,AN213+2,M217)</f>
        <v>78.5</v>
      </c>
      <c r="AO218" s="4" cm="1">
        <f t="array" ref="AO218">INDEX(Datablad!$AF$70:$AM$83,AO213+2,M217)</f>
        <v>102.9</v>
      </c>
      <c r="AP218" s="4" cm="1">
        <f t="array" ref="AP218">INDEX(Datablad!$AF$70:$AM$83,AP213+2,M217)</f>
        <v>90.4</v>
      </c>
      <c r="AQ218" s="4" cm="1">
        <f t="array" ref="AQ218">INDEX(Datablad!$AF$70:$AM$83,AQ213+2,M217)</f>
        <v>68</v>
      </c>
      <c r="AR218" s="4" cm="1">
        <f t="array" ref="AR218">INDEX(Datablad!$AF$70:$AM$83,AR213+2,M217)</f>
        <v>48.6</v>
      </c>
      <c r="AS218" s="4" cm="1">
        <f t="array" ref="AS218">INDEX(Datablad!$AF$70:$AM$83,AS213+2,M217)</f>
        <v>31.5</v>
      </c>
      <c r="AT218" s="4" cm="1">
        <f t="array" ref="AT218">INDEX(Datablad!$AF$70:$AM$83,AT213+2,M217)</f>
        <v>16.600000000000001</v>
      </c>
      <c r="AU218" s="4" cm="1">
        <f t="array" ref="AU218">INDEX(Datablad!$AF$70:$AM$83,AU213+2,M217)</f>
        <v>10.9</v>
      </c>
      <c r="AV218">
        <v>3</v>
      </c>
      <c r="AW218" s="4" t="str">
        <f t="shared" ca="1" si="140"/>
        <v>n.v.t.</v>
      </c>
      <c r="AX218" s="4" t="str">
        <f t="shared" ca="1" si="141"/>
        <v>n.v.t.</v>
      </c>
      <c r="AY218" s="4" t="str">
        <f t="shared" ca="1" si="142"/>
        <v>n.v.t.</v>
      </c>
      <c r="AZ218" s="4" t="str">
        <f t="shared" ca="1" si="143"/>
        <v>n.v.t.</v>
      </c>
      <c r="BA218" s="4" t="str">
        <f t="shared" ca="1" si="144"/>
        <v>n.v.t.</v>
      </c>
      <c r="BB218" s="4" t="str">
        <f t="shared" ca="1" si="145"/>
        <v>n.v.t.</v>
      </c>
      <c r="BC218" s="4" t="str">
        <f t="shared" ca="1" si="146"/>
        <v>n.v.t.</v>
      </c>
      <c r="BD218" s="4" t="str">
        <f t="shared" ca="1" si="147"/>
        <v>n.v.t.</v>
      </c>
      <c r="BE218" s="4" t="str">
        <f t="shared" ca="1" si="148"/>
        <v>n.v.t.</v>
      </c>
      <c r="BF218" s="4" t="str">
        <f t="shared" ca="1" si="149"/>
        <v>n.v.t.</v>
      </c>
      <c r="BG218" s="4" t="str">
        <f t="shared" ca="1" si="150"/>
        <v>n.v.t.</v>
      </c>
      <c r="BH218" s="4" t="str">
        <f t="shared" ca="1" si="151"/>
        <v>n.v.t.</v>
      </c>
    </row>
    <row r="219" spans="3:64" x14ac:dyDescent="0.3">
      <c r="K219" t="s">
        <v>366</v>
      </c>
      <c r="L219" t="s">
        <v>367</v>
      </c>
      <c r="M219" t="s">
        <v>370</v>
      </c>
      <c r="P219">
        <v>60</v>
      </c>
      <c r="Q219">
        <v>4</v>
      </c>
      <c r="R219" t="str">
        <f ca="1">IF(N216=P219,"ja","nee")</f>
        <v>nee</v>
      </c>
      <c r="S219" t="str">
        <f ca="1">IF(AND(N216&gt;P219,N216&lt;P220),Q219,"n.v.t.")</f>
        <v>n.v.t.</v>
      </c>
      <c r="T219" t="str">
        <f t="shared" ca="1" si="139"/>
        <v>n.v.t.</v>
      </c>
      <c r="U219" t="str">
        <f ca="1">IF(S219="n.v.t.","n.v.t.",(P220-N216)/(P220-P219))</f>
        <v>n.v.t.</v>
      </c>
      <c r="V219" t="str">
        <f ca="1">IF(T219="n.v.t.","n.v.t.",(N216-P219)/(P220-P219))</f>
        <v>n.v.t.</v>
      </c>
      <c r="W219" s="4" cm="1">
        <f t="array" ref="W219">INDEX(Datablad!$AF$70:$AM$83,W213+2,M217)</f>
        <v>13.4</v>
      </c>
      <c r="X219" s="4" cm="1">
        <f t="array" ref="X219">INDEX(Datablad!$AF$70:$AM$83,X213+2,M217)</f>
        <v>24.1</v>
      </c>
      <c r="Y219" s="4" cm="1">
        <f t="array" ref="Y219">INDEX(Datablad!$AF$70:$AM$83,Y213+2,M217)</f>
        <v>41.5</v>
      </c>
      <c r="Z219" s="4" cm="1">
        <f t="array" ref="Z219">INDEX(Datablad!$AF$70:$AM$83,Z213+2,M217)</f>
        <v>57.8</v>
      </c>
      <c r="AA219" s="4" cm="1">
        <f t="array" ref="AA219">INDEX(Datablad!$AF$70:$AM$83,AA213+2,M217)</f>
        <v>78.5</v>
      </c>
      <c r="AB219" s="4" cm="1">
        <f t="array" ref="AB219">INDEX(Datablad!$AF$70:$AM$83,AB213+2,M217)</f>
        <v>102.9</v>
      </c>
      <c r="AC219" s="4" cm="1">
        <f t="array" ref="AC219">INDEX(Datablad!$AF$70:$AM$83,AC213+2,M217)</f>
        <v>90.4</v>
      </c>
      <c r="AD219" s="4" cm="1">
        <f t="array" ref="AD219">INDEX(Datablad!$AF$70:$AM$83,AD213+2,M217)</f>
        <v>68</v>
      </c>
      <c r="AE219" s="4" cm="1">
        <f t="array" ref="AE219">INDEX(Datablad!$AF$70:$AM$83,AE213+2,M217)</f>
        <v>48.6</v>
      </c>
      <c r="AF219" s="4" cm="1">
        <f t="array" ref="AF219">INDEX(Datablad!$AF$70:$AM$83,AF213+2,M217)</f>
        <v>31.5</v>
      </c>
      <c r="AG219" s="4" cm="1">
        <f t="array" ref="AG219">INDEX(Datablad!$AF$70:$AM$83,AG213+2,M217)</f>
        <v>16.600000000000001</v>
      </c>
      <c r="AH219" s="4" cm="1">
        <f t="array" ref="AH219">INDEX(Datablad!$AF$70:$AM$83,AH213+2,M217)</f>
        <v>10.9</v>
      </c>
      <c r="AI219" s="10"/>
      <c r="AJ219" s="4" cm="1">
        <f t="array" ref="AJ219">INDEX(Datablad!$AO$70:$AV$83,AJ213+2,M217)</f>
        <v>11.1</v>
      </c>
      <c r="AK219" s="4" cm="1">
        <f t="array" ref="AK219">INDEX(Datablad!$AO$70:$AV$83,AK213+2,M217)</f>
        <v>19.5</v>
      </c>
      <c r="AL219" s="4" cm="1">
        <f t="array" ref="AL219">INDEX(Datablad!$AO$70:$AV$83,AL213+2,M217)</f>
        <v>34.799999999999997</v>
      </c>
      <c r="AM219" s="4" cm="1">
        <f t="array" ref="AM219">INDEX(Datablad!$AO$70:$AV$83,AM213+2,M217)</f>
        <v>49.4</v>
      </c>
      <c r="AN219" s="4" cm="1">
        <f t="array" ref="AN219">INDEX(Datablad!$AO$70:$AV$83,AN213+2,M217)</f>
        <v>61.9</v>
      </c>
      <c r="AO219" s="4" cm="1">
        <f t="array" ref="AO219">INDEX(Datablad!$AO$70:$AV$83,AO213+2,M217)</f>
        <v>73</v>
      </c>
      <c r="AP219" s="4" cm="1">
        <f t="array" ref="AP219">INDEX(Datablad!$AO$70:$AV$83,AP213+2,M217)</f>
        <v>66.7</v>
      </c>
      <c r="AQ219" s="4" cm="1">
        <f t="array" ref="AQ219">INDEX(Datablad!$AO$70:$AV$83,AQ213+2,M217)</f>
        <v>55.9</v>
      </c>
      <c r="AR219" s="4" cm="1">
        <f t="array" ref="AR219">INDEX(Datablad!$AO$70:$AV$83,AR213+2,M217)</f>
        <v>41.4</v>
      </c>
      <c r="AS219" s="4" cm="1">
        <f t="array" ref="AS219">INDEX(Datablad!$AO$70:$AV$83,AS213+2,M217)</f>
        <v>26.4</v>
      </c>
      <c r="AT219" s="4" cm="1">
        <f t="array" ref="AT219">INDEX(Datablad!$AO$70:$AV$83,AT213+2,M217)</f>
        <v>13.6</v>
      </c>
      <c r="AU219" s="4" cm="1">
        <f t="array" ref="AU219">INDEX(Datablad!$AO$70:$AV$83,AU213+2,M217)</f>
        <v>8.9</v>
      </c>
      <c r="AV219">
        <v>4</v>
      </c>
      <c r="AW219" s="4" t="str">
        <f t="shared" ca="1" si="140"/>
        <v>n.v.t.</v>
      </c>
      <c r="AX219" s="4" t="str">
        <f t="shared" ca="1" si="141"/>
        <v>n.v.t.</v>
      </c>
      <c r="AY219" s="4" t="str">
        <f t="shared" ca="1" si="142"/>
        <v>n.v.t.</v>
      </c>
      <c r="AZ219" s="4" t="str">
        <f t="shared" ca="1" si="143"/>
        <v>n.v.t.</v>
      </c>
      <c r="BA219" s="4" t="str">
        <f t="shared" ca="1" si="144"/>
        <v>n.v.t.</v>
      </c>
      <c r="BB219" s="4" t="str">
        <f t="shared" ca="1" si="145"/>
        <v>n.v.t.</v>
      </c>
      <c r="BC219" s="4" t="str">
        <f t="shared" ca="1" si="146"/>
        <v>n.v.t.</v>
      </c>
      <c r="BD219" s="4" t="str">
        <f t="shared" ca="1" si="147"/>
        <v>n.v.t.</v>
      </c>
      <c r="BE219" s="4" t="str">
        <f t="shared" ca="1" si="148"/>
        <v>n.v.t.</v>
      </c>
      <c r="BF219" s="4" t="str">
        <f t="shared" ca="1" si="149"/>
        <v>n.v.t.</v>
      </c>
      <c r="BG219" s="4" t="str">
        <f t="shared" ca="1" si="150"/>
        <v>n.v.t.</v>
      </c>
      <c r="BH219" s="4" t="str">
        <f t="shared" ca="1" si="151"/>
        <v>n.v.t.</v>
      </c>
      <c r="BL219" t="s">
        <v>64</v>
      </c>
    </row>
    <row r="220" spans="3:64" x14ac:dyDescent="0.3">
      <c r="K220">
        <v>1</v>
      </c>
      <c r="L220" s="11" t="s">
        <v>368</v>
      </c>
      <c r="M220">
        <v>1</v>
      </c>
      <c r="P220">
        <v>90</v>
      </c>
      <c r="Q220">
        <v>5</v>
      </c>
      <c r="R220" t="str">
        <f ca="1">IF(N216=P220,"ja","nee")</f>
        <v>nee</v>
      </c>
      <c r="S220" t="str">
        <f ca="1">IF(AND(N216&gt;P220,N216&lt;P221),Q220,"n.v.t.")</f>
        <v>n.v.t.</v>
      </c>
      <c r="T220" t="str">
        <f t="shared" ca="1" si="139"/>
        <v>n.v.t.</v>
      </c>
      <c r="U220" t="str">
        <f ca="1">IF(S220="n.v.t.","n.v.t.",(P221-N216)/(P221-P220))</f>
        <v>n.v.t.</v>
      </c>
      <c r="V220" t="str">
        <f ca="1">IF(T220="n.v.t.","n.v.t.",(N216-P220)/(P221-P220))</f>
        <v>n.v.t.</v>
      </c>
      <c r="W220" s="4" cm="1">
        <f t="array" ref="W220">INDEX(Datablad!$AO$70:$AV$83,W213+2,M217)</f>
        <v>11.1</v>
      </c>
      <c r="X220" s="4" cm="1">
        <f t="array" ref="X220">INDEX(Datablad!$AO$70:$AV$83,X213+2,M217)</f>
        <v>19.5</v>
      </c>
      <c r="Y220" s="4" cm="1">
        <f t="array" ref="Y220">INDEX(Datablad!$AO$70:$AV$83,Y213+2,M217)</f>
        <v>34.799999999999997</v>
      </c>
      <c r="Z220" s="4" cm="1">
        <f t="array" ref="Z220">INDEX(Datablad!$AO$70:$AV$83,Z213+2,M217)</f>
        <v>49.4</v>
      </c>
      <c r="AA220" s="4" cm="1">
        <f t="array" ref="AA220">INDEX(Datablad!$AO$70:$AV$83,AA213+2,M217)</f>
        <v>61.9</v>
      </c>
      <c r="AB220" s="4" cm="1">
        <f t="array" ref="AB220">INDEX(Datablad!$AO$70:$AV$83,AB213+2,M217)</f>
        <v>73</v>
      </c>
      <c r="AC220" s="4" cm="1">
        <f t="array" ref="AC220">INDEX(Datablad!$AO$70:$AV$83,AC213+2,M217)</f>
        <v>66.7</v>
      </c>
      <c r="AD220" s="4" cm="1">
        <f t="array" ref="AD220">INDEX(Datablad!$AO$70:$AV$83,AD213+2,M217)</f>
        <v>55.9</v>
      </c>
      <c r="AE220" s="4" cm="1">
        <f t="array" ref="AE220">INDEX(Datablad!$AO$70:$AV$83,AE213+2,M217)</f>
        <v>41.4</v>
      </c>
      <c r="AF220" s="4" cm="1">
        <f t="array" ref="AF220">INDEX(Datablad!$AO$70:$AV$83,AF213+2,M217)</f>
        <v>26.4</v>
      </c>
      <c r="AG220" s="4" cm="1">
        <f t="array" ref="AG220">INDEX(Datablad!$AO$70:$AV$83,AG213+2,M217)</f>
        <v>13.6</v>
      </c>
      <c r="AH220" s="4" cm="1">
        <f t="array" ref="AH220">INDEX(Datablad!$AO$70:$AV$83,AH213+2,M217)</f>
        <v>8.9</v>
      </c>
      <c r="AI220" s="10"/>
      <c r="AJ220" s="4" cm="1">
        <f t="array" ref="AJ220">INDEX(Datablad!$AX$70:$BE$83,AJ213+2,M217)</f>
        <v>7.5</v>
      </c>
      <c r="AK220" s="4" cm="1">
        <f t="array" ref="AK220">INDEX(Datablad!$AX$70:$BE$83,AK213+2,M217)</f>
        <v>12.9</v>
      </c>
      <c r="AL220" s="4" cm="1">
        <f t="array" ref="AL220">INDEX(Datablad!$AX$70:$BE$83,AL213+2,M217)</f>
        <v>24.5</v>
      </c>
      <c r="AM220" s="4" cm="1">
        <f t="array" ref="AM220">INDEX(Datablad!$AX$70:$BE$83,AM213+2,M217)</f>
        <v>38.299999999999997</v>
      </c>
      <c r="AN220" s="4" cm="1">
        <f t="array" ref="AN220">INDEX(Datablad!$AX$70:$BE$83,AN213+2,M217)</f>
        <v>46.7</v>
      </c>
      <c r="AO220" s="4" cm="1">
        <f t="array" ref="AO220">INDEX(Datablad!$AX$70:$BE$83,AO213+2,M217)</f>
        <v>50.6</v>
      </c>
      <c r="AP220" s="4" cm="1">
        <f t="array" ref="AP220">INDEX(Datablad!$AX$70:$BE$83,AP213+2,M217)</f>
        <v>46.5</v>
      </c>
      <c r="AQ220" s="4" cm="1">
        <f t="array" ref="AQ220">INDEX(Datablad!$AX$70:$BE$83,AQ213+2,M217)</f>
        <v>42.1</v>
      </c>
      <c r="AR220" s="4" cm="1">
        <f t="array" ref="AR220">INDEX(Datablad!$AX$70:$BE$83,AR213+2,M217)</f>
        <v>30.4</v>
      </c>
      <c r="AS220" s="4" cm="1">
        <f t="array" ref="AS220">INDEX(Datablad!$AX$70:$BE$83,AS213+2,M217)</f>
        <v>18.600000000000001</v>
      </c>
      <c r="AT220" s="4" cm="1">
        <f t="array" ref="AT220">INDEX(Datablad!$AX$70:$BE$83,AT213+2,M217)</f>
        <v>9.1</v>
      </c>
      <c r="AU220" s="4" cm="1">
        <f t="array" ref="AU220">INDEX(Datablad!$AX$70:$BE$83,AU213+2,M217)</f>
        <v>5.8</v>
      </c>
      <c r="AV220">
        <v>5</v>
      </c>
      <c r="AW220" s="4" t="str">
        <f t="shared" ca="1" si="140"/>
        <v>n.v.t.</v>
      </c>
      <c r="AX220" s="4" t="str">
        <f t="shared" ca="1" si="141"/>
        <v>n.v.t.</v>
      </c>
      <c r="AY220" s="4" t="str">
        <f t="shared" ca="1" si="142"/>
        <v>n.v.t.</v>
      </c>
      <c r="AZ220" s="4" t="str">
        <f t="shared" ca="1" si="143"/>
        <v>n.v.t.</v>
      </c>
      <c r="BA220" s="4" t="str">
        <f t="shared" ca="1" si="144"/>
        <v>n.v.t.</v>
      </c>
      <c r="BB220" s="4" t="str">
        <f t="shared" ca="1" si="145"/>
        <v>n.v.t.</v>
      </c>
      <c r="BC220" s="4" t="str">
        <f t="shared" ca="1" si="146"/>
        <v>n.v.t.</v>
      </c>
      <c r="BD220" s="4" t="str">
        <f t="shared" ca="1" si="147"/>
        <v>n.v.t.</v>
      </c>
      <c r="BE220" s="4" t="str">
        <f t="shared" ca="1" si="148"/>
        <v>n.v.t.</v>
      </c>
      <c r="BF220" s="4" t="str">
        <f t="shared" ca="1" si="149"/>
        <v>n.v.t.</v>
      </c>
      <c r="BG220" s="4" t="str">
        <f t="shared" ca="1" si="150"/>
        <v>n.v.t.</v>
      </c>
      <c r="BH220" s="4" t="str">
        <f t="shared" ca="1" si="151"/>
        <v>n.v.t.</v>
      </c>
    </row>
    <row r="221" spans="3:64" x14ac:dyDescent="0.3">
      <c r="K221">
        <v>2</v>
      </c>
      <c r="L221" s="11" t="s">
        <v>183</v>
      </c>
      <c r="M221">
        <v>5</v>
      </c>
      <c r="P221">
        <v>135</v>
      </c>
      <c r="Q221">
        <v>6</v>
      </c>
      <c r="R221" t="str">
        <f ca="1">IF(N216=P221,"ja","nee")</f>
        <v>nee</v>
      </c>
      <c r="S221" t="str">
        <f ca="1">IF(AND(N216&gt;P221,N216&lt;P222),Q221,"n.v.t.")</f>
        <v>n.v.t.</v>
      </c>
      <c r="T221" t="str">
        <f t="shared" ca="1" si="139"/>
        <v>n.v.t.</v>
      </c>
      <c r="U221" t="str">
        <f ca="1">IF(S221="n.v.t.","n.v.t.",(P222-N216)/(P222-P221))</f>
        <v>n.v.t.</v>
      </c>
      <c r="V221" t="str">
        <f ca="1">IF(T221="n.v.t.","n.v.t.",(N216-P221)/(P222-P221))</f>
        <v>n.v.t.</v>
      </c>
      <c r="W221" s="4" cm="1">
        <f t="array" ref="W221">INDEX(Datablad!$AX$70:$BE$83,W213+2,M217)</f>
        <v>7.5</v>
      </c>
      <c r="X221" s="4" cm="1">
        <f t="array" ref="X221">INDEX(Datablad!$AX$70:$BE$83,X213+2,M217)</f>
        <v>12.9</v>
      </c>
      <c r="Y221" s="4" cm="1">
        <f t="array" ref="Y221">INDEX(Datablad!$AX$70:$BE$83,Y213+2,M217)</f>
        <v>24.5</v>
      </c>
      <c r="Z221" s="4" cm="1">
        <f t="array" ref="Z221">INDEX(Datablad!$AX$70:$BE$83,Z213+2,M217)</f>
        <v>38.299999999999997</v>
      </c>
      <c r="AA221" s="4" cm="1">
        <f t="array" ref="AA221">INDEX(Datablad!$AX$70:$BE$83,AA213+2,M217)</f>
        <v>46.7</v>
      </c>
      <c r="AB221" s="4" cm="1">
        <f t="array" ref="AB221">INDEX(Datablad!$AX$70:$BE$83,AB213+2,M217)</f>
        <v>50.6</v>
      </c>
      <c r="AC221" s="4" cm="1">
        <f t="array" ref="AC221">INDEX(Datablad!$AX$70:$BE$83,AC213+2,M217)</f>
        <v>46.5</v>
      </c>
      <c r="AD221" s="4" cm="1">
        <f t="array" ref="AD221">INDEX(Datablad!$AX$70:$BE$83,AD213+2,M217)</f>
        <v>42.1</v>
      </c>
      <c r="AE221" s="4" cm="1">
        <f t="array" ref="AE221">INDEX(Datablad!$AX$70:$BE$83,AE213+2,M217)</f>
        <v>30.4</v>
      </c>
      <c r="AF221" s="4" cm="1">
        <f t="array" ref="AF221">INDEX(Datablad!$AX$70:$BE$83,AF213+2,M217)</f>
        <v>18.600000000000001</v>
      </c>
      <c r="AG221" s="4" cm="1">
        <f t="array" ref="AG221">INDEX(Datablad!$AX$70:$BE$83,AG213+2,M217)</f>
        <v>9.1</v>
      </c>
      <c r="AH221" s="4" cm="1">
        <f t="array" ref="AH221">INDEX(Datablad!$AX$70:$BE$83,AH213+2,M217)</f>
        <v>5.8</v>
      </c>
      <c r="AI221" s="10"/>
      <c r="AJ221" s="4" cm="1">
        <f t="array" ref="AJ221">INDEX(Datablad!$BG$70:$BN$83,AJ213+2,M217)</f>
        <v>5.6</v>
      </c>
      <c r="AK221" s="4" cm="1">
        <f t="array" ref="AK221">INDEX(Datablad!$BG$70:$BN$83,AK213+2,M217)</f>
        <v>9.8000000000000007</v>
      </c>
      <c r="AL221" s="4" cm="1">
        <f t="array" ref="AL221">INDEX(Datablad!$BG$70:$BN$83,AL213+2,M217)</f>
        <v>19.3</v>
      </c>
      <c r="AM221" s="4" cm="1">
        <f t="array" ref="AM221">INDEX(Datablad!$BG$70:$BN$83,AM213+2,M217)</f>
        <v>32.1</v>
      </c>
      <c r="AN221" s="4" cm="1">
        <f t="array" ref="AN221">INDEX(Datablad!$BG$70:$BN$83,AN213+2,M217)</f>
        <v>39.299999999999997</v>
      </c>
      <c r="AO221" s="4" cm="1">
        <f t="array" ref="AO221">INDEX(Datablad!$BG$70:$BN$83,AO213+2,M217)</f>
        <v>41.8</v>
      </c>
      <c r="AP221" s="4" cm="1">
        <f t="array" ref="AP221">INDEX(Datablad!$BG$70:$BN$83,AP213+2,M217)</f>
        <v>38.200000000000003</v>
      </c>
      <c r="AQ221" s="4" cm="1">
        <f t="array" ref="AQ221">INDEX(Datablad!$BG$70:$BN$83,AQ213+2,M217)</f>
        <v>35.299999999999997</v>
      </c>
      <c r="AR221" s="4" cm="1">
        <f t="array" ref="AR221">INDEX(Datablad!$BG$70:$BN$83,AR213+2,M217)</f>
        <v>24.7</v>
      </c>
      <c r="AS221" s="4" cm="1">
        <f t="array" ref="AS221">INDEX(Datablad!$BG$70:$BN$83,AS213+2,M217)</f>
        <v>14.6</v>
      </c>
      <c r="AT221" s="4" cm="1">
        <f t="array" ref="AT221">INDEX(Datablad!$BG$70:$BN$83,AT213+2,M217)</f>
        <v>6.9</v>
      </c>
      <c r="AU221" s="4" cm="1">
        <f t="array" ref="AU221">INDEX(Datablad!$BG$70:$BN$83,AU213+2,M217)</f>
        <v>4.2</v>
      </c>
      <c r="AV221">
        <v>6</v>
      </c>
      <c r="AW221" s="4" t="str">
        <f t="shared" ca="1" si="140"/>
        <v>n.v.t.</v>
      </c>
      <c r="AX221" s="4" t="str">
        <f t="shared" ca="1" si="141"/>
        <v>n.v.t.</v>
      </c>
      <c r="AY221" s="4" t="str">
        <f t="shared" ca="1" si="142"/>
        <v>n.v.t.</v>
      </c>
      <c r="AZ221" s="4" t="str">
        <f t="shared" ca="1" si="143"/>
        <v>n.v.t.</v>
      </c>
      <c r="BA221" s="4" t="str">
        <f t="shared" ca="1" si="144"/>
        <v>n.v.t.</v>
      </c>
      <c r="BB221" s="4" t="str">
        <f t="shared" ca="1" si="145"/>
        <v>n.v.t.</v>
      </c>
      <c r="BC221" s="4" t="str">
        <f t="shared" ca="1" si="146"/>
        <v>n.v.t.</v>
      </c>
      <c r="BD221" s="4" t="str">
        <f t="shared" ca="1" si="147"/>
        <v>n.v.t.</v>
      </c>
      <c r="BE221" s="4" t="str">
        <f t="shared" ca="1" si="148"/>
        <v>n.v.t.</v>
      </c>
      <c r="BF221" s="4" t="str">
        <f t="shared" ca="1" si="149"/>
        <v>n.v.t.</v>
      </c>
      <c r="BG221" s="4" t="str">
        <f t="shared" ca="1" si="150"/>
        <v>n.v.t.</v>
      </c>
      <c r="BH221" s="4" t="str">
        <f t="shared" ca="1" si="151"/>
        <v>n.v.t.</v>
      </c>
    </row>
    <row r="222" spans="3:64" x14ac:dyDescent="0.3">
      <c r="K222">
        <v>3</v>
      </c>
      <c r="L222" s="11" t="s">
        <v>184</v>
      </c>
      <c r="M222">
        <v>6</v>
      </c>
      <c r="P222">
        <v>180</v>
      </c>
      <c r="Q222">
        <v>7</v>
      </c>
      <c r="R222" t="str">
        <f ca="1">IF(N216=P222,"ja","nee")</f>
        <v>nee</v>
      </c>
      <c r="S222" t="str">
        <f ca="1">IF(AND(N216&gt;P222,N216&lt;P223),Q222,"n.v.t.")</f>
        <v>n.v.t.</v>
      </c>
      <c r="T222" t="str">
        <f t="shared" ca="1" si="139"/>
        <v>n.v.t.</v>
      </c>
      <c r="U222" t="str">
        <f ca="1">IF(S222="n.v.t.","n.v.t.",(P223-N216)/(P223-P222))</f>
        <v>n.v.t.</v>
      </c>
      <c r="V222" t="str">
        <f ca="1">IF(T222="n.v.t.","n.v.t.",(N216-P222)/(P223-P222))</f>
        <v>n.v.t.</v>
      </c>
      <c r="W222" s="4" cm="1">
        <f t="array" ref="W222">INDEX(Datablad!$BG$70:$BN$83,W213+2,M217)</f>
        <v>5.6</v>
      </c>
      <c r="X222" s="4" cm="1">
        <f t="array" ref="X222">INDEX(Datablad!$BG$70:$BN$83,X213+2,M217)</f>
        <v>9.8000000000000007</v>
      </c>
      <c r="Y222" s="4" cm="1">
        <f t="array" ref="Y222">INDEX(Datablad!$BG$70:$BN$83,Y213+2,M217)</f>
        <v>19.3</v>
      </c>
      <c r="Z222" s="4" cm="1">
        <f t="array" ref="Z222">INDEX(Datablad!$BG$70:$BN$83,Z213+2,M217)</f>
        <v>32.1</v>
      </c>
      <c r="AA222" s="4" cm="1">
        <f t="array" ref="AA222">INDEX(Datablad!$BG$70:$BN$83,AA213+2,M217)</f>
        <v>39.299999999999997</v>
      </c>
      <c r="AB222" s="4" cm="1">
        <f t="array" ref="AB222">INDEX(Datablad!$BG$70:$BN$83,AB213+2,M217)</f>
        <v>41.8</v>
      </c>
      <c r="AC222" s="4" cm="1">
        <f t="array" ref="AC222">INDEX(Datablad!$BG$70:$BN$83,AC213+2,M217)</f>
        <v>38.200000000000003</v>
      </c>
      <c r="AD222" s="4" cm="1">
        <f t="array" ref="AD222">INDEX(Datablad!$BG$70:$BN$83,AD213+2,M217)</f>
        <v>35.299999999999997</v>
      </c>
      <c r="AE222" s="4" cm="1">
        <f t="array" ref="AE222">INDEX(Datablad!$BG$70:$BN$83,AE213+2,M217)</f>
        <v>24.7</v>
      </c>
      <c r="AF222" s="4" cm="1">
        <f t="array" ref="AF222">INDEX(Datablad!$BG$70:$BN$83,AF213+2,M217)</f>
        <v>14.6</v>
      </c>
      <c r="AG222" s="4" cm="1">
        <f t="array" ref="AG222">INDEX(Datablad!$BG$70:$BN$83,AG213+2,M217)</f>
        <v>6.9</v>
      </c>
      <c r="AH222" s="4" cm="1">
        <f t="array" ref="AH222">INDEX(Datablad!$BG$70:$BN$83,AH213+2,M217)</f>
        <v>4.2</v>
      </c>
      <c r="AI222" s="10"/>
      <c r="AV222">
        <v>7</v>
      </c>
      <c r="AW222" s="4" t="str">
        <f t="shared" ca="1" si="140"/>
        <v>n.v.t.</v>
      </c>
      <c r="AX222" s="4" t="str">
        <f t="shared" ca="1" si="141"/>
        <v>n.v.t.</v>
      </c>
      <c r="AY222" s="4" t="str">
        <f t="shared" ca="1" si="142"/>
        <v>n.v.t.</v>
      </c>
      <c r="AZ222" s="4" t="str">
        <f t="shared" ca="1" si="143"/>
        <v>n.v.t.</v>
      </c>
      <c r="BA222" s="4" t="str">
        <f t="shared" ca="1" si="144"/>
        <v>n.v.t.</v>
      </c>
      <c r="BB222" s="4" t="str">
        <f t="shared" ca="1" si="145"/>
        <v>n.v.t.</v>
      </c>
      <c r="BC222" s="4" t="str">
        <f t="shared" ca="1" si="146"/>
        <v>n.v.t.</v>
      </c>
      <c r="BD222" s="4" t="str">
        <f t="shared" ca="1" si="147"/>
        <v>n.v.t.</v>
      </c>
      <c r="BE222" s="4" t="str">
        <f t="shared" ca="1" si="148"/>
        <v>n.v.t.</v>
      </c>
      <c r="BF222" s="4" t="str">
        <f t="shared" ca="1" si="149"/>
        <v>n.v.t.</v>
      </c>
      <c r="BG222" s="4" t="str">
        <f t="shared" ca="1" si="150"/>
        <v>n.v.t.</v>
      </c>
      <c r="BH222" s="4" t="str">
        <f t="shared" ca="1" si="151"/>
        <v>n.v.t.</v>
      </c>
    </row>
    <row r="223" spans="3:64" x14ac:dyDescent="0.3">
      <c r="K223">
        <v>4</v>
      </c>
      <c r="L223" s="11" t="s">
        <v>185</v>
      </c>
      <c r="M223">
        <v>7</v>
      </c>
    </row>
    <row r="224" spans="3:64" x14ac:dyDescent="0.3">
      <c r="K224">
        <v>5</v>
      </c>
      <c r="L224" s="11" t="s">
        <v>186</v>
      </c>
      <c r="M224">
        <v>8</v>
      </c>
    </row>
    <row r="225" spans="9:64" x14ac:dyDescent="0.3">
      <c r="K225">
        <v>6</v>
      </c>
      <c r="L225" s="11" t="s">
        <v>180</v>
      </c>
      <c r="M225">
        <v>1</v>
      </c>
    </row>
    <row r="226" spans="9:64" x14ac:dyDescent="0.3">
      <c r="K226">
        <v>7</v>
      </c>
      <c r="L226" s="11" t="s">
        <v>176</v>
      </c>
      <c r="M226">
        <v>2</v>
      </c>
    </row>
    <row r="227" spans="9:64" x14ac:dyDescent="0.3">
      <c r="K227">
        <v>8</v>
      </c>
      <c r="L227" s="11" t="s">
        <v>181</v>
      </c>
      <c r="M227">
        <v>3</v>
      </c>
    </row>
    <row r="228" spans="9:64" x14ac:dyDescent="0.3">
      <c r="K228">
        <v>9</v>
      </c>
      <c r="L228" s="11" t="s">
        <v>182</v>
      </c>
      <c r="M228">
        <v>4</v>
      </c>
      <c r="BL228" t="s">
        <v>66</v>
      </c>
    </row>
    <row r="229" spans="9:64" x14ac:dyDescent="0.3">
      <c r="I229" s="1" t="s">
        <v>230</v>
      </c>
      <c r="T229" t="s">
        <v>199</v>
      </c>
      <c r="U229" t="s">
        <v>172</v>
      </c>
    </row>
    <row r="230" spans="9:64" x14ac:dyDescent="0.3">
      <c r="P230" s="4">
        <v>1</v>
      </c>
      <c r="Q230" t="s">
        <v>147</v>
      </c>
      <c r="T230" t="s">
        <v>198</v>
      </c>
      <c r="U230" t="s">
        <v>200</v>
      </c>
      <c r="V230" t="s">
        <v>201</v>
      </c>
      <c r="BL230" t="s">
        <v>67</v>
      </c>
    </row>
    <row r="231" spans="9:64" x14ac:dyDescent="0.3">
      <c r="P231" s="4">
        <v>2</v>
      </c>
      <c r="Q231" t="s">
        <v>148</v>
      </c>
      <c r="T231" t="s">
        <v>196</v>
      </c>
      <c r="U231" t="s">
        <v>202</v>
      </c>
    </row>
    <row r="232" spans="9:64" x14ac:dyDescent="0.3">
      <c r="P232" s="4">
        <v>3</v>
      </c>
      <c r="Q232" t="s">
        <v>149</v>
      </c>
      <c r="T232" t="s">
        <v>196</v>
      </c>
      <c r="U232" t="s">
        <v>202</v>
      </c>
      <c r="BL232" t="s">
        <v>68</v>
      </c>
    </row>
    <row r="233" spans="9:64" x14ac:dyDescent="0.3">
      <c r="P233" s="4">
        <v>4</v>
      </c>
      <c r="Q233" t="s">
        <v>150</v>
      </c>
      <c r="T233" t="s">
        <v>196</v>
      </c>
      <c r="U233" t="s">
        <v>202</v>
      </c>
    </row>
    <row r="234" spans="9:64" x14ac:dyDescent="0.3">
      <c r="P234" s="4">
        <v>5</v>
      </c>
      <c r="Q234" t="s">
        <v>151</v>
      </c>
      <c r="T234" t="s">
        <v>197</v>
      </c>
      <c r="U234" t="s">
        <v>203</v>
      </c>
    </row>
    <row r="235" spans="9:64" x14ac:dyDescent="0.3">
      <c r="P235" s="4">
        <v>6</v>
      </c>
      <c r="Q235" t="s">
        <v>152</v>
      </c>
      <c r="T235" t="s">
        <v>197</v>
      </c>
      <c r="U235" t="s">
        <v>203</v>
      </c>
    </row>
    <row r="237" spans="9:64" x14ac:dyDescent="0.3">
      <c r="P237" t="s">
        <v>3</v>
      </c>
      <c r="Q237" t="s">
        <v>4</v>
      </c>
      <c r="R237" t="s">
        <v>5</v>
      </c>
      <c r="S237" t="s">
        <v>6</v>
      </c>
      <c r="T237" t="s">
        <v>7</v>
      </c>
      <c r="U237" t="s">
        <v>8</v>
      </c>
      <c r="V237" t="s">
        <v>9</v>
      </c>
      <c r="W237" t="s">
        <v>10</v>
      </c>
      <c r="X237" t="s">
        <v>11</v>
      </c>
      <c r="Y237" t="s">
        <v>12</v>
      </c>
      <c r="Z237" t="s">
        <v>13</v>
      </c>
      <c r="AA237" t="s">
        <v>14</v>
      </c>
    </row>
    <row r="238" spans="9:64" x14ac:dyDescent="0.3">
      <c r="M238" t="s">
        <v>234</v>
      </c>
      <c r="P238" s="18">
        <f ca="1">IF($I244=1,P245,IF(OR($I244=2,$I244=3,$I244=4),Y245,AR245))</f>
        <v>0.55000000000000004</v>
      </c>
      <c r="Q238" s="18">
        <f ca="1">IF($I244=1,P246,IF(OR($I244=2,$I244=3,$I244=4),Y246,AR246))</f>
        <v>0.57999999999999996</v>
      </c>
      <c r="R238" s="18">
        <f ca="1">IF($I244=1,P247,IF(OR($I244=2,$I244=3,$I244=4),Y247,AR247))</f>
        <v>0.49</v>
      </c>
      <c r="S238" s="18">
        <f ca="1">IF($I244=1,P248,IF(OR($I244=2,$I244=3,$I244=4),Y248,AR248))</f>
        <v>0.36</v>
      </c>
      <c r="T238" s="18">
        <f ca="1">IF($I244=1,P249,IF(OR($I244=2,$I244=3,$I244=4),Y249,AR249))</f>
        <v>0.34</v>
      </c>
      <c r="U238" s="18">
        <f ca="1">IF($I244=1,P250,IF(OR($I244=2,$I244=3,$I244=4),Y250,AR250))</f>
        <v>0.37</v>
      </c>
      <c r="V238" s="18">
        <f ca="1">IF($I244=1,P251,IF(OR($I244=2,$I244=3,$I244=4),Y251,AR251))</f>
        <v>0.41</v>
      </c>
      <c r="W238" s="18">
        <f ca="1">IF($I244=1,P252,IF(OR($I244=2,$I244=3,$I244=4),Y252,AR252))</f>
        <v>0.37</v>
      </c>
      <c r="X238" s="18">
        <f ca="1">IF($I244=1,P253,IF(OR($I244=2,$I244=3,$I244=4),Y253,AR253))</f>
        <v>0.43</v>
      </c>
      <c r="Y238" s="18">
        <f ca="1">IF($I244=1,P254,IF(OR($I244=2,$I244=3,$I244=4),Y254,AR254))</f>
        <v>0.48</v>
      </c>
      <c r="Z238" s="18">
        <f ca="1">IF($I244=1,P255,IF(OR($I244=2,$I244=3,$I244=4),Y255,AR255))</f>
        <v>0.56000000000000005</v>
      </c>
      <c r="AA238" s="18">
        <f ca="1">IF($I244=1,P256,IF(OR($I244=2,$I244=3,$I244=4),Y256,AR256))</f>
        <v>0.6</v>
      </c>
    </row>
    <row r="243" spans="9:66" x14ac:dyDescent="0.3">
      <c r="I243" t="s">
        <v>241</v>
      </c>
      <c r="N243" s="17" t="s">
        <v>245</v>
      </c>
      <c r="P243" s="15"/>
      <c r="Q243" s="15"/>
      <c r="S243" t="s">
        <v>380</v>
      </c>
      <c r="W243" s="17" t="s">
        <v>246</v>
      </c>
      <c r="Y243" s="15"/>
      <c r="Z243" s="15"/>
      <c r="AA243" s="15"/>
      <c r="AB243" s="15"/>
      <c r="AF243">
        <f ca="1">HLOOKUP(S247,Datablad!$H$96:$BQ$97,2,FALSE)</f>
        <v>1</v>
      </c>
      <c r="AG243" t="s">
        <v>249</v>
      </c>
      <c r="AL243" t="s">
        <v>380</v>
      </c>
      <c r="AP243" s="17" t="s">
        <v>247</v>
      </c>
    </row>
    <row r="244" spans="9:66" x14ac:dyDescent="0.3">
      <c r="I244" s="59" t="str">
        <f>'Drop-down'!$BG$4</f>
        <v>nvt</v>
      </c>
      <c r="O244" t="s">
        <v>231</v>
      </c>
      <c r="Q244" s="15"/>
      <c r="X244" t="s">
        <v>232</v>
      </c>
      <c r="AA244" t="s">
        <v>248</v>
      </c>
      <c r="AB244" t="s">
        <v>250</v>
      </c>
      <c r="AF244" t="e">
        <f ca="1">IF(S246=1,VLOOKUP(S245,$AE$70:$AF$72,2,FALSE),VLOOKUP(S245,$AE$73:$AF$75,2,FALSE))</f>
        <v>#N/A</v>
      </c>
      <c r="AG244" t="s">
        <v>251</v>
      </c>
      <c r="AK244" t="s">
        <v>235</v>
      </c>
      <c r="AL244" s="59" t="str">
        <f>I244</f>
        <v>nvt</v>
      </c>
      <c r="AM244" t="s">
        <v>236</v>
      </c>
      <c r="AQ244" t="s">
        <v>233</v>
      </c>
      <c r="AT244" t="s">
        <v>248</v>
      </c>
      <c r="AU244" t="s">
        <v>250</v>
      </c>
      <c r="AW244" t="s">
        <v>270</v>
      </c>
    </row>
    <row r="245" spans="9:66" x14ac:dyDescent="0.3">
      <c r="I245" t="s">
        <v>377</v>
      </c>
      <c r="O245" t="s">
        <v>3</v>
      </c>
      <c r="P245" s="15">
        <v>1</v>
      </c>
      <c r="Q245" s="15"/>
      <c r="S245" s="59" t="str">
        <f>I244</f>
        <v>nvt</v>
      </c>
      <c r="T245" t="s">
        <v>239</v>
      </c>
      <c r="X245" t="s">
        <v>71</v>
      </c>
      <c r="Y245" s="19" t="e" cm="1">
        <f t="array" aca="1" ref="Y245" ca="1">INDEX(Datablad!$H$102:$BQ$113,Rekenblad!AB245,Rekenblad!AA245)</f>
        <v>#N/A</v>
      </c>
      <c r="AA245" t="e">
        <f ca="1">AF243+AF244-1</f>
        <v>#N/A</v>
      </c>
      <c r="AB245">
        <v>1</v>
      </c>
      <c r="AD245" t="s">
        <v>218</v>
      </c>
      <c r="AF245" t="s">
        <v>248</v>
      </c>
      <c r="AG245" t="s">
        <v>252</v>
      </c>
      <c r="AL245" s="14">
        <f ca="1">I248</f>
        <v>0</v>
      </c>
      <c r="AM245" t="s">
        <v>174</v>
      </c>
      <c r="AQ245" t="s">
        <v>71</v>
      </c>
      <c r="AR245" s="19" cm="1">
        <f t="array" aca="1" ref="AR245" ca="1">INDEX(Datablad!$H$123:$DU$134,Rekenblad!AU245,Rekenblad!AT245)</f>
        <v>0.55000000000000004</v>
      </c>
      <c r="AT245">
        <f ca="1">$AX254+$AX252</f>
        <v>7</v>
      </c>
      <c r="AU245">
        <v>1</v>
      </c>
      <c r="AW245" t="s">
        <v>267</v>
      </c>
      <c r="AX245" t="s">
        <v>261</v>
      </c>
      <c r="AY245" s="9" t="s">
        <v>257</v>
      </c>
      <c r="AZ245" s="9" t="s">
        <v>256</v>
      </c>
      <c r="BA245" s="9" t="s">
        <v>255</v>
      </c>
      <c r="BB245" s="9" t="s">
        <v>262</v>
      </c>
      <c r="BC245" s="9" t="s">
        <v>254</v>
      </c>
      <c r="BD245" s="9" t="s">
        <v>253</v>
      </c>
      <c r="BE245" t="s">
        <v>264</v>
      </c>
      <c r="BF245" s="9" t="s">
        <v>263</v>
      </c>
      <c r="BG245" s="9" t="s">
        <v>258</v>
      </c>
      <c r="BH245" s="9" t="s">
        <v>259</v>
      </c>
      <c r="BI245" s="9" t="s">
        <v>265</v>
      </c>
      <c r="BJ245" s="9" t="s">
        <v>260</v>
      </c>
      <c r="BL245" s="9" t="s">
        <v>259</v>
      </c>
      <c r="BM245" s="9" t="s">
        <v>265</v>
      </c>
      <c r="BN245" s="9" t="s">
        <v>260</v>
      </c>
    </row>
    <row r="246" spans="9:66" x14ac:dyDescent="0.3">
      <c r="I246" s="58">
        <f ca="1">IF('Drop-down'!$BJ$4=3,2,1)</f>
        <v>1</v>
      </c>
      <c r="O246" t="s">
        <v>4</v>
      </c>
      <c r="P246" s="15">
        <v>1</v>
      </c>
      <c r="Q246" s="15"/>
      <c r="S246" s="59">
        <f ca="1">I246</f>
        <v>1</v>
      </c>
      <c r="T246" t="s">
        <v>240</v>
      </c>
      <c r="X246" t="s">
        <v>73</v>
      </c>
      <c r="Y246" s="19" t="e" cm="1">
        <f t="array" aca="1" ref="Y246" ca="1">INDEX(Datablad!$H$102:$BQ$113,Rekenblad!AB246,Rekenblad!AA246)</f>
        <v>#N/A</v>
      </c>
      <c r="AA246" t="e">
        <f ca="1">AF243+AF244-1</f>
        <v>#N/A</v>
      </c>
      <c r="AB246">
        <v>2</v>
      </c>
      <c r="AD246">
        <v>1</v>
      </c>
      <c r="AE246" s="15">
        <v>2</v>
      </c>
      <c r="AF246" s="15">
        <v>1</v>
      </c>
      <c r="AM246" t="s">
        <v>237</v>
      </c>
      <c r="AQ246" t="s">
        <v>73</v>
      </c>
      <c r="AR246" s="19" cm="1">
        <f t="array" aca="1" ref="AR246" ca="1">INDEX(Datablad!$H$123:$DU$134,Rekenblad!AU246,Rekenblad!AT246)</f>
        <v>0.57999999999999996</v>
      </c>
      <c r="AT246">
        <f ca="1">$AX254+$AX252</f>
        <v>7</v>
      </c>
      <c r="AU246">
        <v>2</v>
      </c>
      <c r="AW246" t="s">
        <v>248</v>
      </c>
      <c r="AX246">
        <v>0</v>
      </c>
      <c r="AY246">
        <v>1</v>
      </c>
      <c r="AZ246">
        <v>2</v>
      </c>
      <c r="BA246">
        <v>3</v>
      </c>
      <c r="BB246">
        <v>4</v>
      </c>
      <c r="BC246">
        <v>5</v>
      </c>
      <c r="BD246">
        <v>6</v>
      </c>
      <c r="BE246">
        <v>7</v>
      </c>
      <c r="BF246">
        <v>8</v>
      </c>
      <c r="BG246">
        <v>9</v>
      </c>
      <c r="BH246">
        <v>10</v>
      </c>
      <c r="BI246">
        <v>11</v>
      </c>
      <c r="BJ246">
        <v>12</v>
      </c>
      <c r="BL246">
        <v>10</v>
      </c>
      <c r="BM246">
        <v>11</v>
      </c>
      <c r="BN246">
        <v>12</v>
      </c>
    </row>
    <row r="247" spans="9:66" x14ac:dyDescent="0.3">
      <c r="I247" t="s">
        <v>376</v>
      </c>
      <c r="O247" t="s">
        <v>5</v>
      </c>
      <c r="P247" s="15">
        <v>1</v>
      </c>
      <c r="Q247" s="15"/>
      <c r="S247" s="58" t="str">
        <f ca="1">I251</f>
        <v>Z</v>
      </c>
      <c r="T247" t="s">
        <v>379</v>
      </c>
      <c r="X247" t="s">
        <v>74</v>
      </c>
      <c r="Y247" s="19" t="e" cm="1">
        <f t="array" aca="1" ref="Y247" ca="1">INDEX(Datablad!$H$102:$BQ$113,Rekenblad!AB247,Rekenblad!AA247)</f>
        <v>#N/A</v>
      </c>
      <c r="AA247" t="e">
        <f ca="1">AF243+AF244-1</f>
        <v>#N/A</v>
      </c>
      <c r="AB247">
        <v>3</v>
      </c>
      <c r="AD247">
        <v>1</v>
      </c>
      <c r="AE247" s="15">
        <v>3</v>
      </c>
      <c r="AF247" s="15">
        <v>3</v>
      </c>
      <c r="AM247" t="s">
        <v>238</v>
      </c>
      <c r="AQ247" t="s">
        <v>74</v>
      </c>
      <c r="AR247" s="19" cm="1">
        <f t="array" aca="1" ref="AR247" ca="1">INDEX(Datablad!$H$123:$DU$134,Rekenblad!AU247,Rekenblad!AT247)</f>
        <v>0.49</v>
      </c>
      <c r="AT247">
        <f ca="1">$AX254+$AX252</f>
        <v>7</v>
      </c>
      <c r="AU247">
        <v>3</v>
      </c>
      <c r="AW247" t="s">
        <v>266</v>
      </c>
      <c r="AX247">
        <f>AY247+15</f>
        <v>83</v>
      </c>
      <c r="AY247">
        <f>AZ247+15</f>
        <v>68</v>
      </c>
      <c r="AZ247">
        <f>BA247+15</f>
        <v>53</v>
      </c>
      <c r="BA247">
        <f>BB247+15</f>
        <v>38</v>
      </c>
      <c r="BB247">
        <f>BC247+15</f>
        <v>23</v>
      </c>
      <c r="BC247">
        <f>BD247+8</f>
        <v>8</v>
      </c>
      <c r="BD247">
        <v>0</v>
      </c>
      <c r="BE247">
        <f>AX247+15</f>
        <v>98</v>
      </c>
      <c r="BF247">
        <f>BE247+15</f>
        <v>113</v>
      </c>
      <c r="BG247">
        <f>BF247+15</f>
        <v>128</v>
      </c>
      <c r="BH247">
        <f>BG247+15</f>
        <v>143</v>
      </c>
      <c r="BI247">
        <f>BH247+15</f>
        <v>158</v>
      </c>
      <c r="BJ247">
        <f>BI247+15</f>
        <v>173</v>
      </c>
      <c r="BL247">
        <f>BK247+15</f>
        <v>15</v>
      </c>
      <c r="BM247">
        <f>BL247+15</f>
        <v>30</v>
      </c>
      <c r="BN247">
        <f>BM247+15</f>
        <v>45</v>
      </c>
    </row>
    <row r="248" spans="9:66" x14ac:dyDescent="0.3">
      <c r="I248" s="14">
        <f ca="1">IF('Drop-down'!$BA$4="vul in",0,'Drop-down'!$BA$4)</f>
        <v>0</v>
      </c>
      <c r="O248" t="s">
        <v>6</v>
      </c>
      <c r="P248" s="15">
        <v>1</v>
      </c>
      <c r="Q248" s="15"/>
      <c r="X248" t="s">
        <v>75</v>
      </c>
      <c r="Y248" s="19" t="e" cm="1">
        <f t="array" aca="1" ref="Y248" ca="1">INDEX(Datablad!$H$102:$BQ$113,Rekenblad!AB248,Rekenblad!AA248)</f>
        <v>#N/A</v>
      </c>
      <c r="AA248" t="e">
        <f ca="1">AF243+AF244-1</f>
        <v>#N/A</v>
      </c>
      <c r="AB248">
        <v>4</v>
      </c>
      <c r="AD248">
        <v>1</v>
      </c>
      <c r="AE248" s="15">
        <v>4</v>
      </c>
      <c r="AF248" s="15">
        <v>5</v>
      </c>
      <c r="AL248" s="58" t="str">
        <f ca="1">I251</f>
        <v>Z</v>
      </c>
      <c r="AQ248" t="s">
        <v>75</v>
      </c>
      <c r="AR248" s="19" cm="1">
        <f t="array" aca="1" ref="AR248" ca="1">INDEX(Datablad!$H$123:$DU$134,Rekenblad!AU248,Rekenblad!AT248)</f>
        <v>0.36</v>
      </c>
      <c r="AT248">
        <f ca="1">$AX254+$AX252</f>
        <v>7</v>
      </c>
      <c r="AU248">
        <v>4</v>
      </c>
      <c r="AW248" t="s">
        <v>271</v>
      </c>
    </row>
    <row r="249" spans="9:66" x14ac:dyDescent="0.3">
      <c r="I249" t="s">
        <v>378</v>
      </c>
      <c r="O249" t="s">
        <v>7</v>
      </c>
      <c r="P249" s="15">
        <v>1</v>
      </c>
      <c r="Q249" s="15"/>
      <c r="X249" t="s">
        <v>76</v>
      </c>
      <c r="Y249" s="19" t="e" cm="1">
        <f t="array" aca="1" ref="Y249" ca="1">INDEX(Datablad!$H$102:$BQ$113,Rekenblad!AB249,Rekenblad!AA249)</f>
        <v>#N/A</v>
      </c>
      <c r="AA249" t="e">
        <f ca="1">AF243+AF244-1</f>
        <v>#N/A</v>
      </c>
      <c r="AB249">
        <v>5</v>
      </c>
      <c r="AD249">
        <v>2</v>
      </c>
      <c r="AE249" s="15">
        <v>2</v>
      </c>
      <c r="AF249" s="15">
        <v>2</v>
      </c>
      <c r="AQ249" t="s">
        <v>76</v>
      </c>
      <c r="AR249" s="19" cm="1">
        <f t="array" aca="1" ref="AR249" ca="1">INDEX(Datablad!$H$123:$DU$134,Rekenblad!AU249,Rekenblad!AT249)</f>
        <v>0.34</v>
      </c>
      <c r="AT249">
        <f ca="1">$AX254+$AX252</f>
        <v>7</v>
      </c>
      <c r="AU249">
        <v>5</v>
      </c>
      <c r="AW249" t="s">
        <v>248</v>
      </c>
      <c r="AX249">
        <f>BJ246</f>
        <v>12</v>
      </c>
      <c r="AY249">
        <f>BI246</f>
        <v>11</v>
      </c>
      <c r="AZ249">
        <f>BH246</f>
        <v>10</v>
      </c>
      <c r="BA249">
        <f>BG246</f>
        <v>9</v>
      </c>
      <c r="BB249">
        <f>BF246</f>
        <v>8</v>
      </c>
      <c r="BC249">
        <f>BE246</f>
        <v>7</v>
      </c>
      <c r="BD249">
        <f t="shared" ref="BD249:BD250" si="152">AX246</f>
        <v>0</v>
      </c>
      <c r="BE249">
        <f t="shared" ref="BE249:BE250" si="153">AY246</f>
        <v>1</v>
      </c>
      <c r="BF249">
        <f t="shared" ref="BF249:BF250" si="154">AZ246</f>
        <v>2</v>
      </c>
      <c r="BG249">
        <f t="shared" ref="BG249:BG250" si="155">BA246</f>
        <v>3</v>
      </c>
      <c r="BH249">
        <f t="shared" ref="BH249:BH250" si="156">BB246</f>
        <v>4</v>
      </c>
      <c r="BI249">
        <f t="shared" ref="BI249:BI250" si="157">BC246</f>
        <v>5</v>
      </c>
      <c r="BJ249">
        <f t="shared" ref="BJ249:BJ250" si="158">BD246</f>
        <v>6</v>
      </c>
      <c r="BL249">
        <f t="shared" ref="BL249:BL250" si="159">BF246</f>
        <v>8</v>
      </c>
      <c r="BM249">
        <f t="shared" ref="BM249:BM250" si="160">BG246</f>
        <v>9</v>
      </c>
      <c r="BN249">
        <f t="shared" ref="BN249:BN250" si="161">BH246</f>
        <v>10</v>
      </c>
    </row>
    <row r="250" spans="9:66" x14ac:dyDescent="0.3">
      <c r="I250" s="58" t="str">
        <f>M218</f>
        <v>ho</v>
      </c>
      <c r="O250" t="s">
        <v>8</v>
      </c>
      <c r="P250" s="15">
        <v>1</v>
      </c>
      <c r="Q250" s="15"/>
      <c r="X250" t="s">
        <v>77</v>
      </c>
      <c r="Y250" s="19" t="e" cm="1">
        <f t="array" aca="1" ref="Y250" ca="1">INDEX(Datablad!$H$102:$BQ$113,Rekenblad!AB250,Rekenblad!AA250)</f>
        <v>#N/A</v>
      </c>
      <c r="AA250" t="e">
        <f ca="1">AF243+AF244-1</f>
        <v>#N/A</v>
      </c>
      <c r="AB250">
        <v>6</v>
      </c>
      <c r="AD250">
        <v>2</v>
      </c>
      <c r="AE250" s="15">
        <v>3</v>
      </c>
      <c r="AF250" s="15">
        <v>4</v>
      </c>
      <c r="AQ250" t="s">
        <v>77</v>
      </c>
      <c r="AR250" s="19" cm="1">
        <f t="array" aca="1" ref="AR250" ca="1">INDEX(Datablad!$H$123:$DU$134,Rekenblad!AU250,Rekenblad!AT250)</f>
        <v>0.37</v>
      </c>
      <c r="AT250">
        <f ca="1">$AX254+$AX252</f>
        <v>7</v>
      </c>
      <c r="AU250">
        <v>6</v>
      </c>
      <c r="AW250" t="s">
        <v>268</v>
      </c>
      <c r="AX250">
        <f>BJ247</f>
        <v>173</v>
      </c>
      <c r="AY250">
        <f>BI247</f>
        <v>158</v>
      </c>
      <c r="AZ250">
        <f>BH247</f>
        <v>143</v>
      </c>
      <c r="BA250">
        <f>BG247</f>
        <v>128</v>
      </c>
      <c r="BB250">
        <f>BF247</f>
        <v>113</v>
      </c>
      <c r="BC250">
        <f>BE247</f>
        <v>98</v>
      </c>
      <c r="BD250">
        <f t="shared" si="152"/>
        <v>83</v>
      </c>
      <c r="BE250">
        <f t="shared" si="153"/>
        <v>68</v>
      </c>
      <c r="BF250">
        <f t="shared" si="154"/>
        <v>53</v>
      </c>
      <c r="BG250">
        <f t="shared" si="155"/>
        <v>38</v>
      </c>
      <c r="BH250">
        <f t="shared" si="156"/>
        <v>23</v>
      </c>
      <c r="BI250">
        <f t="shared" si="157"/>
        <v>8</v>
      </c>
      <c r="BJ250">
        <f t="shared" si="158"/>
        <v>0</v>
      </c>
      <c r="BL250">
        <f t="shared" si="159"/>
        <v>113</v>
      </c>
      <c r="BM250">
        <f t="shared" si="160"/>
        <v>128</v>
      </c>
      <c r="BN250">
        <f t="shared" si="161"/>
        <v>143</v>
      </c>
    </row>
    <row r="251" spans="9:66" x14ac:dyDescent="0.3">
      <c r="I251" t="str">
        <f ca="1">IF(I248&lt;15,"Z",IF(I250="ho","Z",I250))</f>
        <v>Z</v>
      </c>
      <c r="O251" t="s">
        <v>9</v>
      </c>
      <c r="P251" s="15">
        <v>1</v>
      </c>
      <c r="Q251" s="15"/>
      <c r="X251" t="s">
        <v>78</v>
      </c>
      <c r="Y251" s="19" t="e" cm="1">
        <f t="array" aca="1" ref="Y251" ca="1">INDEX(Datablad!$H$102:$BQ$113,Rekenblad!AB251,Rekenblad!AA251)</f>
        <v>#N/A</v>
      </c>
      <c r="AA251" t="e">
        <f ca="1">AF243+AF244-1</f>
        <v>#N/A</v>
      </c>
      <c r="AB251">
        <v>7</v>
      </c>
      <c r="AD251">
        <v>2</v>
      </c>
      <c r="AE251" s="15">
        <v>4</v>
      </c>
      <c r="AF251" s="15">
        <v>6</v>
      </c>
      <c r="AQ251" t="s">
        <v>78</v>
      </c>
      <c r="AR251" s="19" cm="1">
        <f t="array" aca="1" ref="AR251" ca="1">INDEX(Datablad!$H$123:$DU$134,Rekenblad!AU251,Rekenblad!AT251)</f>
        <v>0.41</v>
      </c>
      <c r="AT251">
        <f ca="1">$AX254+$AX252</f>
        <v>7</v>
      </c>
      <c r="AU251">
        <v>7</v>
      </c>
      <c r="AW251" t="s">
        <v>174</v>
      </c>
      <c r="AX251">
        <f ca="1">AL245</f>
        <v>0</v>
      </c>
    </row>
    <row r="252" spans="9:66" x14ac:dyDescent="0.3">
      <c r="I252" t="s">
        <v>371</v>
      </c>
      <c r="O252" t="s">
        <v>10</v>
      </c>
      <c r="P252" s="15">
        <v>1</v>
      </c>
      <c r="Q252" s="15"/>
      <c r="X252" t="s">
        <v>79</v>
      </c>
      <c r="Y252" s="19" t="e" cm="1">
        <f t="array" aca="1" ref="Y252" ca="1">INDEX(Datablad!$H$102:$BQ$113,Rekenblad!AB252,Rekenblad!AA252)</f>
        <v>#N/A</v>
      </c>
      <c r="AA252" t="e">
        <f ca="1">AF243+AF244-1</f>
        <v>#N/A</v>
      </c>
      <c r="AB252">
        <v>8</v>
      </c>
      <c r="AQ252" t="s">
        <v>79</v>
      </c>
      <c r="AR252" s="19" cm="1">
        <f t="array" aca="1" ref="AR252" ca="1">INDEX(Datablad!$H$123:$DU$134,Rekenblad!AU252,Rekenblad!AT252)</f>
        <v>0.37</v>
      </c>
      <c r="AT252">
        <f ca="1">$AX254+$AX252</f>
        <v>7</v>
      </c>
      <c r="AU252">
        <v>8</v>
      </c>
      <c r="AW252" t="s">
        <v>269</v>
      </c>
      <c r="AX252">
        <f ca="1">IF(AX251&gt;=AX250,AX249,IF(AX251&gt;=AY250,AY249,IF(AX251&gt;=AZ250,AZ249,IF(AX251&gt;=BA250,BA249,IF(AX251&gt;=BB250,BB249,IF(AX251&gt;=BC250,BC249,IF(AX251&gt;=BD250,BD249,IF(AX251&gt;=BE250,BE249,IF(AX251&gt;=BF250,BF249,IF(AX251&gt;=BG250,BG249,IF(AX251&gt;=BH250,BH249,IF(AX251&gt;=BI250,BI249,IF(AX251&gt;=BJ250,BJ249)))))))))))))</f>
        <v>6</v>
      </c>
    </row>
    <row r="253" spans="9:66" x14ac:dyDescent="0.3">
      <c r="O253" t="s">
        <v>11</v>
      </c>
      <c r="P253" s="15">
        <v>1</v>
      </c>
      <c r="Q253" s="15"/>
      <c r="X253" t="s">
        <v>80</v>
      </c>
      <c r="Y253" s="19" t="e" cm="1">
        <f t="array" aca="1" ref="Y253" ca="1">INDEX(Datablad!$H$102:$BQ$113,Rekenblad!AB253,Rekenblad!AA253)</f>
        <v>#N/A</v>
      </c>
      <c r="AA253" t="e">
        <f ca="1">AF243+AF244-1</f>
        <v>#N/A</v>
      </c>
      <c r="AB253">
        <v>9</v>
      </c>
      <c r="AQ253" t="s">
        <v>80</v>
      </c>
      <c r="AR253" s="19" cm="1">
        <f t="array" aca="1" ref="AR253" ca="1">INDEX(Datablad!$H$123:$DU$134,Rekenblad!AU253,Rekenblad!AT253)</f>
        <v>0.43</v>
      </c>
      <c r="AT253">
        <f ca="1">$AX254+$AX252</f>
        <v>7</v>
      </c>
      <c r="AU253">
        <v>9</v>
      </c>
    </row>
    <row r="254" spans="9:66" x14ac:dyDescent="0.3">
      <c r="O254" t="s">
        <v>12</v>
      </c>
      <c r="P254" s="15">
        <v>1</v>
      </c>
      <c r="Q254" s="15"/>
      <c r="X254" t="s">
        <v>81</v>
      </c>
      <c r="Y254" s="19" t="e" cm="1">
        <f t="array" aca="1" ref="Y254" ca="1">INDEX(Datablad!$H$102:$BQ$113,Rekenblad!AB254,Rekenblad!AA254)</f>
        <v>#N/A</v>
      </c>
      <c r="AA254" t="e">
        <f ca="1">AF243+AF244-1</f>
        <v>#N/A</v>
      </c>
      <c r="AB254">
        <v>10</v>
      </c>
      <c r="AQ254" t="s">
        <v>81</v>
      </c>
      <c r="AR254" s="19" cm="1">
        <f t="array" aca="1" ref="AR254" ca="1">INDEX(Datablad!$H$123:$DU$134,Rekenblad!AU254,Rekenblad!AT254)</f>
        <v>0.48</v>
      </c>
      <c r="AT254">
        <f ca="1">$AX254+$AX252</f>
        <v>7</v>
      </c>
      <c r="AU254">
        <v>10</v>
      </c>
      <c r="AX254">
        <f ca="1">HLOOKUP(AL248,Datablad!$H$115:$DU$116,2,FALSE)</f>
        <v>1</v>
      </c>
      <c r="AY254" t="s">
        <v>272</v>
      </c>
    </row>
    <row r="255" spans="9:66" x14ac:dyDescent="0.3">
      <c r="O255" t="s">
        <v>13</v>
      </c>
      <c r="P255" s="15">
        <v>1</v>
      </c>
      <c r="Q255" s="15"/>
      <c r="X255" t="s">
        <v>82</v>
      </c>
      <c r="Y255" s="19" t="e" cm="1">
        <f t="array" aca="1" ref="Y255" ca="1">INDEX(Datablad!$H$102:$BQ$113,Rekenblad!AB255,Rekenblad!AA255)</f>
        <v>#N/A</v>
      </c>
      <c r="AA255" t="e">
        <f ca="1">AF243+AF244-1</f>
        <v>#N/A</v>
      </c>
      <c r="AB255">
        <v>11</v>
      </c>
      <c r="AQ255" t="s">
        <v>82</v>
      </c>
      <c r="AR255" s="19" cm="1">
        <f t="array" aca="1" ref="AR255" ca="1">INDEX(Datablad!$H$123:$DU$134,Rekenblad!AU255,Rekenblad!AT255)</f>
        <v>0.56000000000000005</v>
      </c>
      <c r="AT255">
        <f ca="1">$AX254+$AX252</f>
        <v>7</v>
      </c>
      <c r="AU255">
        <v>11</v>
      </c>
      <c r="AY255" t="s">
        <v>273</v>
      </c>
    </row>
    <row r="256" spans="9:66" x14ac:dyDescent="0.3">
      <c r="O256" t="s">
        <v>14</v>
      </c>
      <c r="P256" s="15">
        <v>1</v>
      </c>
      <c r="Q256" s="15"/>
      <c r="X256" t="s">
        <v>83</v>
      </c>
      <c r="Y256" s="19" t="e" cm="1">
        <f t="array" aca="1" ref="Y256" ca="1">INDEX(Datablad!$H$102:$BQ$113,Rekenblad!AB256,Rekenblad!AA256)</f>
        <v>#N/A</v>
      </c>
      <c r="AA256" t="e">
        <f ca="1">AF243+AF244-1</f>
        <v>#N/A</v>
      </c>
      <c r="AB256">
        <v>12</v>
      </c>
      <c r="AQ256" t="s">
        <v>83</v>
      </c>
      <c r="AR256" s="19" cm="1">
        <f t="array" aca="1" ref="AR256" ca="1">INDEX(Datablad!$H$123:$DU$134,Rekenblad!AU256,Rekenblad!AT256)</f>
        <v>0.6</v>
      </c>
      <c r="AT256">
        <f ca="1">$AX254+$AX252</f>
        <v>7</v>
      </c>
      <c r="AU256">
        <v>12</v>
      </c>
      <c r="AY256" s="15"/>
    </row>
    <row r="257" spans="6:28" x14ac:dyDescent="0.3">
      <c r="T257" s="15"/>
      <c r="U257" s="15"/>
      <c r="V257" s="15"/>
      <c r="W257" s="15"/>
      <c r="X257" s="15"/>
      <c r="Y257" s="15"/>
      <c r="Z257" s="15"/>
      <c r="AA257" s="15"/>
      <c r="AB257" s="15"/>
    </row>
    <row r="259" spans="6:28" x14ac:dyDescent="0.3">
      <c r="I259" s="1" t="s">
        <v>242</v>
      </c>
      <c r="M259" t="str">
        <f t="shared" ref="M259" si="162">P237</f>
        <v>januari</v>
      </c>
      <c r="N259" t="str">
        <f t="shared" ref="N259:N260" si="163">Q237</f>
        <v>februari</v>
      </c>
      <c r="O259" t="str">
        <f t="shared" ref="O259:O260" si="164">R237</f>
        <v>maart</v>
      </c>
      <c r="P259" t="str">
        <f t="shared" ref="P259:P260" si="165">S237</f>
        <v>april</v>
      </c>
      <c r="Q259" t="str">
        <f t="shared" ref="Q259:Q260" si="166">T237</f>
        <v>mei</v>
      </c>
      <c r="R259" t="str">
        <f t="shared" ref="R259:R260" si="167">U237</f>
        <v>juni</v>
      </c>
      <c r="S259" t="str">
        <f t="shared" ref="S259:S260" si="168">V237</f>
        <v>juli</v>
      </c>
      <c r="T259" t="str">
        <f t="shared" ref="T259:T260" si="169">W237</f>
        <v>augustus</v>
      </c>
      <c r="U259" t="str">
        <f t="shared" ref="U259:U260" si="170">X237</f>
        <v>september</v>
      </c>
      <c r="V259" t="str">
        <f t="shared" ref="V259:V260" si="171">Y237</f>
        <v>oktober</v>
      </c>
      <c r="W259" t="str">
        <f t="shared" ref="W259:W260" si="172">Z237</f>
        <v>november</v>
      </c>
      <c r="X259" t="str">
        <f t="shared" ref="X259:X260" si="173">AA237</f>
        <v>december</v>
      </c>
    </row>
    <row r="260" spans="6:28" x14ac:dyDescent="0.3">
      <c r="I260" s="1"/>
      <c r="L260" t="s">
        <v>114</v>
      </c>
      <c r="M260">
        <f ca="1">P238</f>
        <v>0.55000000000000004</v>
      </c>
      <c r="N260">
        <f t="shared" ca="1" si="163"/>
        <v>0.57999999999999996</v>
      </c>
      <c r="O260">
        <f t="shared" ca="1" si="164"/>
        <v>0.49</v>
      </c>
      <c r="P260">
        <f t="shared" ca="1" si="165"/>
        <v>0.36</v>
      </c>
      <c r="Q260">
        <f t="shared" ca="1" si="166"/>
        <v>0.34</v>
      </c>
      <c r="R260">
        <f t="shared" ca="1" si="167"/>
        <v>0.37</v>
      </c>
      <c r="S260">
        <f t="shared" ca="1" si="168"/>
        <v>0.41</v>
      </c>
      <c r="T260">
        <f t="shared" ca="1" si="169"/>
        <v>0.37</v>
      </c>
      <c r="U260">
        <f t="shared" ca="1" si="170"/>
        <v>0.43</v>
      </c>
      <c r="V260">
        <f t="shared" ca="1" si="171"/>
        <v>0.48</v>
      </c>
      <c r="W260">
        <f t="shared" ca="1" si="172"/>
        <v>0.56000000000000005</v>
      </c>
      <c r="X260">
        <f t="shared" ca="1" si="173"/>
        <v>0.6</v>
      </c>
    </row>
    <row r="261" spans="6:28" x14ac:dyDescent="0.3">
      <c r="I261" s="1" t="s">
        <v>244</v>
      </c>
    </row>
    <row r="262" spans="6:28" x14ac:dyDescent="0.3">
      <c r="I262" s="4" t="s">
        <v>114</v>
      </c>
      <c r="J262" s="4" t="s">
        <v>243</v>
      </c>
      <c r="L262" t="s">
        <v>109</v>
      </c>
      <c r="M262" s="18">
        <f ca="1">IF(M260&lt;=0.8,$J$107,(VLOOKUP(M260,$I$87:$J$107,2,FALSE)))</f>
        <v>0.75</v>
      </c>
      <c r="N262" s="18">
        <f t="shared" ref="N262:U262" ca="1" si="174">IF(N260&lt;=0.8,$J$107,(VLOOKUP(N260,$I$87:$J$107,2,FALSE)))</f>
        <v>0.75</v>
      </c>
      <c r="O262" s="18">
        <f t="shared" ca="1" si="174"/>
        <v>0.75</v>
      </c>
      <c r="P262" s="18">
        <f t="shared" ca="1" si="174"/>
        <v>0.75</v>
      </c>
      <c r="Q262" s="18">
        <f ca="1">IF(Q260&lt;=0.8,$J$107,(VLOOKUP(Q260,$I$87:$J$107,2,FALSE)))</f>
        <v>0.75</v>
      </c>
      <c r="R262" s="18">
        <f t="shared" ca="1" si="174"/>
        <v>0.75</v>
      </c>
      <c r="S262" s="18">
        <f t="shared" ca="1" si="174"/>
        <v>0.75</v>
      </c>
      <c r="T262" s="18">
        <f t="shared" ca="1" si="174"/>
        <v>0.75</v>
      </c>
      <c r="U262" s="18">
        <f t="shared" ca="1" si="174"/>
        <v>0.75</v>
      </c>
      <c r="V262" s="18">
        <f ca="1">IF(V260&lt;=0.8,$J$107,(VLOOKUP(V260,$I$87:$J$107,2,FALSE)))</f>
        <v>0.75</v>
      </c>
      <c r="W262" s="18">
        <f ca="1">IF(W260&lt;=0.8,$J$107,(VLOOKUP(W260,$I$87:$J$107,2,FALSE)))</f>
        <v>0.75</v>
      </c>
      <c r="X262" s="18">
        <f ca="1">IF(X260&lt;=0.8,$J$107,(VLOOKUP(X260,$I$87:$J$107,2,FALSE)))</f>
        <v>0.75</v>
      </c>
    </row>
    <row r="263" spans="6:28" x14ac:dyDescent="0.3">
      <c r="I263" s="4">
        <v>1</v>
      </c>
      <c r="J263" s="4">
        <v>1</v>
      </c>
    </row>
    <row r="264" spans="6:28" x14ac:dyDescent="0.3">
      <c r="I264" s="4">
        <v>0.99</v>
      </c>
      <c r="J264" s="4">
        <v>0.99</v>
      </c>
    </row>
    <row r="265" spans="6:28" x14ac:dyDescent="0.3">
      <c r="I265" s="4">
        <v>0.98</v>
      </c>
      <c r="J265" s="4">
        <v>0.98</v>
      </c>
    </row>
    <row r="266" spans="6:28" x14ac:dyDescent="0.3">
      <c r="I266" s="4">
        <v>0.97</v>
      </c>
      <c r="J266" s="4">
        <v>0.97</v>
      </c>
    </row>
    <row r="267" spans="6:28" x14ac:dyDescent="0.3">
      <c r="I267" s="4">
        <v>0.96</v>
      </c>
      <c r="J267" s="4">
        <v>0.96</v>
      </c>
    </row>
    <row r="268" spans="6:28" x14ac:dyDescent="0.3">
      <c r="I268" s="4">
        <v>0.95</v>
      </c>
      <c r="J268" s="4">
        <v>0.95</v>
      </c>
    </row>
    <row r="269" spans="6:28" x14ac:dyDescent="0.3">
      <c r="I269" s="4">
        <v>0.94</v>
      </c>
      <c r="J269" s="4">
        <f>0.89+4/5*0.06</f>
        <v>0.93800000000000006</v>
      </c>
    </row>
    <row r="270" spans="6:28" x14ac:dyDescent="0.3">
      <c r="I270" s="4">
        <v>0.93</v>
      </c>
      <c r="J270" s="4">
        <f>0.89+3/5*0.06</f>
        <v>0.92600000000000005</v>
      </c>
    </row>
    <row r="271" spans="6:28" x14ac:dyDescent="0.3">
      <c r="F271" s="15"/>
      <c r="G271" s="15"/>
      <c r="I271" s="4">
        <v>0.92</v>
      </c>
      <c r="J271" s="4">
        <f>0.89+2/5*0.06</f>
        <v>0.91400000000000003</v>
      </c>
    </row>
    <row r="272" spans="6:28" x14ac:dyDescent="0.3">
      <c r="I272" s="4">
        <v>0.91</v>
      </c>
      <c r="J272" s="4">
        <f>0.89+1/5*0.06</f>
        <v>0.90200000000000002</v>
      </c>
    </row>
    <row r="273" spans="2:64" x14ac:dyDescent="0.3">
      <c r="I273" s="4">
        <v>0.9</v>
      </c>
      <c r="J273" s="4">
        <v>0.89</v>
      </c>
    </row>
    <row r="274" spans="2:64" x14ac:dyDescent="0.3">
      <c r="I274" s="4">
        <v>0.89</v>
      </c>
      <c r="J274" s="4">
        <f>0.82+4/5*0.07</f>
        <v>0.876</v>
      </c>
    </row>
    <row r="275" spans="2:64" x14ac:dyDescent="0.3">
      <c r="I275" s="4">
        <v>0.88</v>
      </c>
      <c r="J275" s="4">
        <f>0.82+3/5*0.07</f>
        <v>0.86199999999999999</v>
      </c>
    </row>
    <row r="276" spans="2:64" x14ac:dyDescent="0.3">
      <c r="I276" s="4">
        <v>0.87</v>
      </c>
      <c r="J276" s="4">
        <f>0.82+2/5*0.07</f>
        <v>0.84799999999999998</v>
      </c>
    </row>
    <row r="277" spans="2:64" x14ac:dyDescent="0.3">
      <c r="I277" s="4">
        <v>0.86</v>
      </c>
      <c r="J277" s="4">
        <f>0.82+1/5*0.07</f>
        <v>0.83399999999999996</v>
      </c>
    </row>
    <row r="278" spans="2:64" x14ac:dyDescent="0.3">
      <c r="I278" s="4">
        <v>0.85</v>
      </c>
      <c r="J278" s="4">
        <v>0.82</v>
      </c>
    </row>
    <row r="279" spans="2:64" x14ac:dyDescent="0.3">
      <c r="I279" s="4">
        <v>0.84</v>
      </c>
      <c r="J279" s="4">
        <f>0.75+4/5*0.07</f>
        <v>0.80600000000000005</v>
      </c>
    </row>
    <row r="280" spans="2:64" x14ac:dyDescent="0.3">
      <c r="I280" s="4">
        <v>0.83</v>
      </c>
      <c r="J280" s="4">
        <f>0.75+3/5*0.07</f>
        <v>0.79200000000000004</v>
      </c>
    </row>
    <row r="281" spans="2:64" x14ac:dyDescent="0.3">
      <c r="I281" s="4">
        <v>0.82</v>
      </c>
      <c r="J281" s="4">
        <f>0.75+2/5*0.07</f>
        <v>0.77800000000000002</v>
      </c>
    </row>
    <row r="282" spans="2:64" x14ac:dyDescent="0.3">
      <c r="I282" s="4">
        <v>0.81</v>
      </c>
      <c r="J282" s="4">
        <f>0.75+1/5*0.07</f>
        <v>0.76400000000000001</v>
      </c>
    </row>
    <row r="283" spans="2:64" x14ac:dyDescent="0.3">
      <c r="I283" s="4">
        <v>0.8</v>
      </c>
      <c r="J283" s="4">
        <v>0.75</v>
      </c>
    </row>
    <row r="286" spans="2:64" x14ac:dyDescent="0.3">
      <c r="B286" s="29" t="s">
        <v>102</v>
      </c>
      <c r="D286" s="1" t="s">
        <v>2</v>
      </c>
      <c r="E286" s="1" t="s">
        <v>3</v>
      </c>
      <c r="F286" s="1" t="s">
        <v>4</v>
      </c>
      <c r="G286" s="1" t="s">
        <v>5</v>
      </c>
      <c r="H286" s="1" t="s">
        <v>6</v>
      </c>
      <c r="I286" s="1" t="s">
        <v>7</v>
      </c>
      <c r="J286" s="1" t="s">
        <v>8</v>
      </c>
      <c r="K286" s="1" t="s">
        <v>9</v>
      </c>
      <c r="L286" s="1" t="s">
        <v>10</v>
      </c>
      <c r="M286" s="1" t="s">
        <v>11</v>
      </c>
      <c r="N286" s="1" t="s">
        <v>12</v>
      </c>
      <c r="O286" s="1" t="s">
        <v>13</v>
      </c>
      <c r="P286" s="1" t="s">
        <v>14</v>
      </c>
      <c r="BL286" t="s">
        <v>60</v>
      </c>
    </row>
    <row r="287" spans="2:64" x14ac:dyDescent="0.3">
      <c r="C287" t="s">
        <v>98</v>
      </c>
      <c r="D287">
        <f ca="1">SUM(E287:P287)</f>
        <v>0</v>
      </c>
      <c r="E287">
        <f ca="1">(E288*E289*E293*E295*E296)/E297</f>
        <v>0</v>
      </c>
      <c r="F287">
        <f t="shared" ref="F287:P287" ca="1" si="175">(F288*F289*F293*F295*F296)/F297</f>
        <v>0</v>
      </c>
      <c r="G287">
        <f t="shared" ca="1" si="175"/>
        <v>0</v>
      </c>
      <c r="H287">
        <f t="shared" ca="1" si="175"/>
        <v>0</v>
      </c>
      <c r="I287">
        <f t="shared" ca="1" si="175"/>
        <v>0</v>
      </c>
      <c r="J287">
        <f t="shared" ca="1" si="175"/>
        <v>0</v>
      </c>
      <c r="K287">
        <f t="shared" ca="1" si="175"/>
        <v>0</v>
      </c>
      <c r="L287">
        <f t="shared" ca="1" si="175"/>
        <v>0</v>
      </c>
      <c r="M287">
        <f t="shared" ca="1" si="175"/>
        <v>0</v>
      </c>
      <c r="N287">
        <f t="shared" ca="1" si="175"/>
        <v>0</v>
      </c>
      <c r="O287">
        <f t="shared" ca="1" si="175"/>
        <v>0</v>
      </c>
      <c r="P287">
        <f t="shared" ca="1" si="175"/>
        <v>0</v>
      </c>
      <c r="Q287" t="s">
        <v>278</v>
      </c>
    </row>
    <row r="288" spans="2:64" x14ac:dyDescent="0.3">
      <c r="C288" t="s">
        <v>106</v>
      </c>
      <c r="E288">
        <f ca="1">E298*E299*E300/1000</f>
        <v>11.457600000000001</v>
      </c>
      <c r="F288">
        <f t="shared" ref="F288:P288" ca="1" si="176">F298*F299*F300/1000</f>
        <v>19.215167999999998</v>
      </c>
      <c r="G288">
        <f t="shared" ca="1" si="176"/>
        <v>35.216495999999999</v>
      </c>
      <c r="H288">
        <f t="shared" ca="1" si="176"/>
        <v>41.601599999999998</v>
      </c>
      <c r="I288">
        <f t="shared" ca="1" si="176"/>
        <v>49.833120000000001</v>
      </c>
      <c r="J288">
        <f t="shared" ca="1" si="176"/>
        <v>55.75752</v>
      </c>
      <c r="K288">
        <f t="shared" ca="1" si="176"/>
        <v>58.262639999999998</v>
      </c>
      <c r="L288">
        <f t="shared" ca="1" si="176"/>
        <v>48.779615999999997</v>
      </c>
      <c r="M288">
        <f t="shared" ca="1" si="176"/>
        <v>38.359439999999999</v>
      </c>
      <c r="N288">
        <f t="shared" ca="1" si="176"/>
        <v>26.141184000000003</v>
      </c>
      <c r="O288">
        <f t="shared" ca="1" si="176"/>
        <v>13.829759999999998</v>
      </c>
      <c r="P288">
        <f t="shared" ca="1" si="176"/>
        <v>9.3743999999999996</v>
      </c>
      <c r="Q288" t="s">
        <v>277</v>
      </c>
    </row>
    <row r="289" spans="3:64" x14ac:dyDescent="0.3">
      <c r="C289" t="s">
        <v>107</v>
      </c>
      <c r="D289" s="60">
        <f>IF(OR('Drop-down'!$AU$5="nvt",'Drop-down'!$AU$5="nog te berekenen"),0,'Drop-down'!$AU$5/1000)</f>
        <v>0</v>
      </c>
      <c r="E289" s="28">
        <f>$D289</f>
        <v>0</v>
      </c>
      <c r="F289" s="28">
        <f t="shared" ref="F289:P289" si="177">$D289</f>
        <v>0</v>
      </c>
      <c r="G289" s="28">
        <f t="shared" si="177"/>
        <v>0</v>
      </c>
      <c r="H289" s="28">
        <f>$D289</f>
        <v>0</v>
      </c>
      <c r="I289" s="28">
        <f t="shared" si="177"/>
        <v>0</v>
      </c>
      <c r="J289" s="28">
        <f t="shared" si="177"/>
        <v>0</v>
      </c>
      <c r="K289" s="28">
        <f t="shared" si="177"/>
        <v>0</v>
      </c>
      <c r="L289" s="28">
        <f t="shared" si="177"/>
        <v>0</v>
      </c>
      <c r="M289" s="28">
        <f t="shared" si="177"/>
        <v>0</v>
      </c>
      <c r="N289" s="28">
        <f t="shared" si="177"/>
        <v>0</v>
      </c>
      <c r="O289" s="28">
        <f t="shared" si="177"/>
        <v>0</v>
      </c>
      <c r="P289" s="28">
        <f t="shared" si="177"/>
        <v>0</v>
      </c>
      <c r="Q289" t="s">
        <v>337</v>
      </c>
      <c r="BL289" t="s">
        <v>59</v>
      </c>
    </row>
    <row r="290" spans="3:64" x14ac:dyDescent="0.3">
      <c r="C290" s="27" t="s">
        <v>116</v>
      </c>
      <c r="Q290" t="s">
        <v>276</v>
      </c>
    </row>
    <row r="291" spans="3:64" x14ac:dyDescent="0.3">
      <c r="C291" s="27" t="s">
        <v>117</v>
      </c>
      <c r="Q291" t="s">
        <v>18</v>
      </c>
      <c r="BL291" t="s">
        <v>61</v>
      </c>
    </row>
    <row r="292" spans="3:64" x14ac:dyDescent="0.3">
      <c r="C292" s="27" t="s">
        <v>115</v>
      </c>
      <c r="Q292" t="s">
        <v>275</v>
      </c>
    </row>
    <row r="293" spans="3:64" x14ac:dyDescent="0.3">
      <c r="C293" t="s">
        <v>108</v>
      </c>
      <c r="D293" s="14" cm="1">
        <f t="array" ref="D293">IF('Drop-down'!$BD$5=0,0,IF('Drop-down'!$BD$5="nvt",0,INDEX(Datablad!$C$26:$E$29,'Drop-down'!$BD$5,3)))</f>
        <v>0</v>
      </c>
      <c r="E293">
        <f>$D293</f>
        <v>0</v>
      </c>
      <c r="F293">
        <f t="shared" ref="F293:O293" si="178">$D293</f>
        <v>0</v>
      </c>
      <c r="G293">
        <f t="shared" si="178"/>
        <v>0</v>
      </c>
      <c r="H293">
        <f>$D293</f>
        <v>0</v>
      </c>
      <c r="I293">
        <f t="shared" si="178"/>
        <v>0</v>
      </c>
      <c r="J293">
        <f t="shared" si="178"/>
        <v>0</v>
      </c>
      <c r="K293">
        <f t="shared" si="178"/>
        <v>0</v>
      </c>
      <c r="L293">
        <f t="shared" si="178"/>
        <v>0</v>
      </c>
      <c r="M293">
        <f t="shared" si="178"/>
        <v>0</v>
      </c>
      <c r="N293">
        <f t="shared" si="178"/>
        <v>0</v>
      </c>
      <c r="O293">
        <f t="shared" si="178"/>
        <v>0</v>
      </c>
      <c r="P293">
        <f>$D293</f>
        <v>0</v>
      </c>
      <c r="Q293" t="s">
        <v>112</v>
      </c>
      <c r="BL293" t="s">
        <v>62</v>
      </c>
    </row>
    <row r="294" spans="3:64" x14ac:dyDescent="0.3">
      <c r="C294" t="s">
        <v>118</v>
      </c>
      <c r="D294" s="14" t="str">
        <f>'Drop-down'!$BD$5</f>
        <v>nvt</v>
      </c>
      <c r="Q294" t="s">
        <v>274</v>
      </c>
    </row>
    <row r="295" spans="3:64" x14ac:dyDescent="0.3">
      <c r="C295" t="s">
        <v>109</v>
      </c>
      <c r="E295">
        <f ca="1">M351</f>
        <v>0.75</v>
      </c>
      <c r="F295">
        <f ca="1">N351</f>
        <v>0.75</v>
      </c>
      <c r="G295">
        <f t="shared" ref="G295" ca="1" si="179">O351</f>
        <v>0.75</v>
      </c>
      <c r="H295">
        <f t="shared" ref="H295" ca="1" si="180">P351</f>
        <v>0.75</v>
      </c>
      <c r="I295">
        <f t="shared" ref="I295" ca="1" si="181">Q351</f>
        <v>0.75</v>
      </c>
      <c r="J295">
        <f t="shared" ref="J295" ca="1" si="182">R351</f>
        <v>0.75</v>
      </c>
      <c r="K295">
        <f t="shared" ref="K295" ca="1" si="183">S351</f>
        <v>0.75</v>
      </c>
      <c r="L295">
        <f t="shared" ref="L295" ca="1" si="184">T351</f>
        <v>0.75</v>
      </c>
      <c r="M295">
        <f t="shared" ref="M295" ca="1" si="185">U351</f>
        <v>0.75</v>
      </c>
      <c r="N295">
        <f t="shared" ref="N295" ca="1" si="186">V351</f>
        <v>0.75</v>
      </c>
      <c r="O295">
        <f t="shared" ref="O295" ca="1" si="187">W351</f>
        <v>0.75</v>
      </c>
      <c r="P295">
        <f t="shared" ref="P295" ca="1" si="188">X351</f>
        <v>0.75</v>
      </c>
      <c r="Q295" t="s">
        <v>194</v>
      </c>
      <c r="BL295" t="s">
        <v>57</v>
      </c>
    </row>
    <row r="296" spans="3:64" x14ac:dyDescent="0.3">
      <c r="C296" t="s">
        <v>110</v>
      </c>
      <c r="E296">
        <f>Datablad!$E$47</f>
        <v>0.95</v>
      </c>
      <c r="F296">
        <f>Datablad!$E$47</f>
        <v>0.95</v>
      </c>
      <c r="G296">
        <f>Datablad!$E$47</f>
        <v>0.95</v>
      </c>
      <c r="H296">
        <f>Datablad!$E$47</f>
        <v>0.95</v>
      </c>
      <c r="I296">
        <f>Datablad!$E$47</f>
        <v>0.95</v>
      </c>
      <c r="J296">
        <f>Datablad!$E$47</f>
        <v>0.95</v>
      </c>
      <c r="K296">
        <f>Datablad!$E$47</f>
        <v>0.95</v>
      </c>
      <c r="L296">
        <f>Datablad!$E$47</f>
        <v>0.95</v>
      </c>
      <c r="M296">
        <f>Datablad!$E$47</f>
        <v>0.95</v>
      </c>
      <c r="N296">
        <f>Datablad!$E$47</f>
        <v>0.95</v>
      </c>
      <c r="O296">
        <f>Datablad!$E$47</f>
        <v>0.95</v>
      </c>
      <c r="P296">
        <f>Datablad!$E$47</f>
        <v>0.95</v>
      </c>
      <c r="Q296" t="s">
        <v>304</v>
      </c>
    </row>
    <row r="297" spans="3:64" x14ac:dyDescent="0.3">
      <c r="C297" t="s">
        <v>111</v>
      </c>
      <c r="E297">
        <f>Datablad!$E$33</f>
        <v>1</v>
      </c>
      <c r="F297">
        <f>Datablad!$E$33</f>
        <v>1</v>
      </c>
      <c r="G297">
        <f>Datablad!$E$33</f>
        <v>1</v>
      </c>
      <c r="H297">
        <f>Datablad!$E$33</f>
        <v>1</v>
      </c>
      <c r="I297">
        <f>Datablad!$E$33</f>
        <v>1</v>
      </c>
      <c r="J297">
        <f>Datablad!$E$33</f>
        <v>1</v>
      </c>
      <c r="K297">
        <f>Datablad!$E$33</f>
        <v>1</v>
      </c>
      <c r="L297">
        <f>Datablad!$E$33</f>
        <v>1</v>
      </c>
      <c r="M297">
        <f>Datablad!$E$33</f>
        <v>1</v>
      </c>
      <c r="N297">
        <f>Datablad!$E$33</f>
        <v>1</v>
      </c>
      <c r="O297">
        <f>Datablad!$E$33</f>
        <v>1</v>
      </c>
      <c r="P297">
        <f>Datablad!$E$33</f>
        <v>1</v>
      </c>
      <c r="Q297" t="s">
        <v>193</v>
      </c>
    </row>
    <row r="298" spans="3:64" x14ac:dyDescent="0.3">
      <c r="C298" t="s">
        <v>113</v>
      </c>
      <c r="E298">
        <f ca="1">AW300</f>
        <v>28</v>
      </c>
      <c r="F298">
        <f t="shared" ref="F298" ca="1" si="189">AX300</f>
        <v>49.3</v>
      </c>
      <c r="G298">
        <f t="shared" ref="G298" ca="1" si="190">AY300</f>
        <v>96.6</v>
      </c>
      <c r="H298">
        <f t="shared" ref="H298" ca="1" si="191">AZ300</f>
        <v>160.5</v>
      </c>
      <c r="I298">
        <f t="shared" ref="I298" ca="1" si="192">BA300</f>
        <v>197</v>
      </c>
      <c r="J298">
        <f t="shared" ref="J298" ca="1" si="193">BB300</f>
        <v>209.3</v>
      </c>
      <c r="K298">
        <f t="shared" ref="K298" ca="1" si="194">BC300</f>
        <v>191</v>
      </c>
      <c r="L298">
        <f t="shared" ref="L298" ca="1" si="195">BD300</f>
        <v>177.2</v>
      </c>
      <c r="M298">
        <f t="shared" ref="M298" ca="1" si="196">BE300</f>
        <v>123.9</v>
      </c>
      <c r="N298">
        <f t="shared" ref="N298" ca="1" si="197">BF300</f>
        <v>73.2</v>
      </c>
      <c r="O298">
        <f t="shared" ref="O298" ca="1" si="198">BG300</f>
        <v>34.299999999999997</v>
      </c>
      <c r="P298">
        <f t="shared" ref="P298" ca="1" si="199">BH300</f>
        <v>21</v>
      </c>
      <c r="Q298" t="s">
        <v>139</v>
      </c>
    </row>
    <row r="299" spans="3:64" x14ac:dyDescent="0.3">
      <c r="C299" t="s">
        <v>84</v>
      </c>
      <c r="D299">
        <f>Datablad!$E$65</f>
        <v>8760</v>
      </c>
      <c r="E299">
        <f>Datablad!$E$53</f>
        <v>744</v>
      </c>
      <c r="F299">
        <f>Datablad!$E$54</f>
        <v>672</v>
      </c>
      <c r="G299">
        <f>Datablad!$E$55</f>
        <v>744</v>
      </c>
      <c r="H299">
        <f>Datablad!$E$56</f>
        <v>720</v>
      </c>
      <c r="I299">
        <f>Datablad!$E$57</f>
        <v>744</v>
      </c>
      <c r="J299">
        <f>Datablad!$E$58</f>
        <v>720</v>
      </c>
      <c r="K299">
        <f>Datablad!$E$59</f>
        <v>744</v>
      </c>
      <c r="L299">
        <f>Datablad!$E$60</f>
        <v>744</v>
      </c>
      <c r="M299">
        <f>Datablad!$E$61</f>
        <v>720</v>
      </c>
      <c r="N299">
        <f>Datablad!$E$62</f>
        <v>744</v>
      </c>
      <c r="O299">
        <f>Datablad!$E$63</f>
        <v>720</v>
      </c>
      <c r="P299">
        <f>Datablad!$E$64</f>
        <v>744</v>
      </c>
      <c r="Q299" t="s">
        <v>192</v>
      </c>
    </row>
    <row r="300" spans="3:64" x14ac:dyDescent="0.3">
      <c r="C300" t="s">
        <v>114</v>
      </c>
      <c r="E300">
        <f ca="1">P327</f>
        <v>0.55000000000000004</v>
      </c>
      <c r="F300">
        <f t="shared" ref="F300" ca="1" si="200">Q327</f>
        <v>0.57999999999999996</v>
      </c>
      <c r="G300">
        <f t="shared" ref="G300" ca="1" si="201">R327</f>
        <v>0.49</v>
      </c>
      <c r="H300">
        <f t="shared" ref="H300" ca="1" si="202">S327</f>
        <v>0.36</v>
      </c>
      <c r="I300">
        <f t="shared" ref="I300" ca="1" si="203">T327</f>
        <v>0.34</v>
      </c>
      <c r="J300">
        <f t="shared" ref="J300" ca="1" si="204">U327</f>
        <v>0.37</v>
      </c>
      <c r="K300">
        <f t="shared" ref="K300" ca="1" si="205">V327</f>
        <v>0.41</v>
      </c>
      <c r="L300">
        <f t="shared" ref="L300" ca="1" si="206">W327</f>
        <v>0.37</v>
      </c>
      <c r="M300">
        <f t="shared" ref="M300" ca="1" si="207">X327</f>
        <v>0.43</v>
      </c>
      <c r="N300">
        <f t="shared" ref="N300" ca="1" si="208">Y327</f>
        <v>0.48</v>
      </c>
      <c r="O300">
        <f t="shared" ref="O300" ca="1" si="209">Z327</f>
        <v>0.56000000000000005</v>
      </c>
      <c r="P300">
        <f t="shared" ref="P300" ca="1" si="210">AA327</f>
        <v>0.6</v>
      </c>
      <c r="Q300" t="s">
        <v>195</v>
      </c>
      <c r="AU300" t="s">
        <v>191</v>
      </c>
      <c r="AV300">
        <f ca="1">IF(N305&lt;30,1,IF(N305&lt;45,2,IF(N305&lt;60,3,IF(N305&lt;90,4,IF(N305&lt;135,5,IF(N305=180,7,6))))))</f>
        <v>1</v>
      </c>
      <c r="AW300" s="18">
        <f ca="1">VLOOKUP(AV300,AV305:BH311,AW302+1,FALSE)</f>
        <v>28</v>
      </c>
      <c r="AX300" s="18">
        <f ca="1">VLOOKUP(AV300,AV305:BH311,AX302+1,FALSE)</f>
        <v>49.3</v>
      </c>
      <c r="AY300" s="18">
        <f ca="1">VLOOKUP(AV300,AV305:BH311,AY302+1,FALSE)</f>
        <v>96.6</v>
      </c>
      <c r="AZ300" s="18">
        <f ca="1">VLOOKUP(AV300,AV305:BH311,AZ302+1,FALSE)</f>
        <v>160.5</v>
      </c>
      <c r="BA300" s="18">
        <f ca="1">VLOOKUP(AV300,AV305:BH311,BA302+1,FALSE)</f>
        <v>197</v>
      </c>
      <c r="BB300" s="18">
        <f ca="1">VLOOKUP(AV300,AV305:BH311,BB302+1,FALSE)</f>
        <v>209.3</v>
      </c>
      <c r="BC300" s="18">
        <f ca="1">VLOOKUP(AV300,AV305:BH311,BC302+1,FALSE)</f>
        <v>191</v>
      </c>
      <c r="BD300" s="18">
        <f ca="1">VLOOKUP(AV300,AV305:BH311,BD302+1,FALSE)</f>
        <v>177.2</v>
      </c>
      <c r="BE300" s="18">
        <f ca="1">VLOOKUP(AV300,AV305:BH311,BE302+1,FALSE)</f>
        <v>123.9</v>
      </c>
      <c r="BF300" s="18">
        <f ca="1">VLOOKUP(AV300,AV305:BH311,BF302+1,FALSE)</f>
        <v>73.2</v>
      </c>
      <c r="BG300" s="18">
        <f ca="1">VLOOKUP(AV300,AV305:BH311,BG302+1,FALSE)</f>
        <v>34.299999999999997</v>
      </c>
      <c r="BH300" s="18">
        <f ca="1">VLOOKUP(AV300,AV305:BH311,BH302+1,FALSE)</f>
        <v>21</v>
      </c>
    </row>
    <row r="301" spans="3:64" x14ac:dyDescent="0.3">
      <c r="I301" s="1" t="s">
        <v>229</v>
      </c>
      <c r="W301" s="4" t="s">
        <v>188</v>
      </c>
      <c r="AJ301" s="4" t="s">
        <v>189</v>
      </c>
      <c r="AW301" s="4" t="s">
        <v>190</v>
      </c>
    </row>
    <row r="302" spans="3:64" x14ac:dyDescent="0.3">
      <c r="W302" s="4">
        <v>1</v>
      </c>
      <c r="X302" s="4">
        <v>2</v>
      </c>
      <c r="Y302" s="4">
        <v>3</v>
      </c>
      <c r="Z302" s="4">
        <v>4</v>
      </c>
      <c r="AA302" s="4">
        <v>5</v>
      </c>
      <c r="AB302" s="4">
        <v>6</v>
      </c>
      <c r="AC302" s="4">
        <v>7</v>
      </c>
      <c r="AD302" s="4">
        <v>8</v>
      </c>
      <c r="AE302" s="4">
        <v>9</v>
      </c>
      <c r="AF302" s="4">
        <v>10</v>
      </c>
      <c r="AG302" s="4">
        <v>11</v>
      </c>
      <c r="AH302" s="4">
        <v>12</v>
      </c>
      <c r="AI302" s="10"/>
      <c r="AJ302" s="4">
        <v>1</v>
      </c>
      <c r="AK302" s="4">
        <v>2</v>
      </c>
      <c r="AL302" s="4">
        <v>3</v>
      </c>
      <c r="AM302" s="4">
        <v>4</v>
      </c>
      <c r="AN302" s="4">
        <v>5</v>
      </c>
      <c r="AO302" s="4">
        <v>6</v>
      </c>
      <c r="AP302" s="4">
        <v>7</v>
      </c>
      <c r="AQ302" s="4">
        <v>8</v>
      </c>
      <c r="AR302" s="4">
        <v>9</v>
      </c>
      <c r="AS302" s="4">
        <v>10</v>
      </c>
      <c r="AT302" s="4">
        <v>11</v>
      </c>
      <c r="AU302" s="4">
        <v>12</v>
      </c>
      <c r="AW302" s="4">
        <v>1</v>
      </c>
      <c r="AX302" s="4">
        <v>2</v>
      </c>
      <c r="AY302" s="4">
        <v>3</v>
      </c>
      <c r="AZ302" s="4">
        <v>4</v>
      </c>
      <c r="BA302" s="4">
        <v>5</v>
      </c>
      <c r="BB302" s="4">
        <v>6</v>
      </c>
      <c r="BC302" s="4">
        <v>7</v>
      </c>
      <c r="BD302" s="4">
        <v>8</v>
      </c>
      <c r="BE302" s="4">
        <v>9</v>
      </c>
      <c r="BF302" s="4">
        <v>10</v>
      </c>
      <c r="BG302" s="4">
        <v>11</v>
      </c>
      <c r="BH302" s="4">
        <v>12</v>
      </c>
    </row>
    <row r="303" spans="3:64" x14ac:dyDescent="0.3">
      <c r="L303" t="s">
        <v>366</v>
      </c>
      <c r="M303" t="s">
        <v>142</v>
      </c>
      <c r="N303" t="s">
        <v>174</v>
      </c>
      <c r="Q303" t="s">
        <v>173</v>
      </c>
      <c r="W303" s="12" t="s">
        <v>3</v>
      </c>
      <c r="X303" s="12" t="s">
        <v>4</v>
      </c>
      <c r="Y303" s="12" t="s">
        <v>5</v>
      </c>
      <c r="Z303" s="12" t="s">
        <v>6</v>
      </c>
      <c r="AA303" s="12" t="s">
        <v>7</v>
      </c>
      <c r="AB303" s="12" t="s">
        <v>8</v>
      </c>
      <c r="AC303" s="12" t="s">
        <v>9</v>
      </c>
      <c r="AD303" s="12" t="s">
        <v>10</v>
      </c>
      <c r="AE303" s="12" t="s">
        <v>11</v>
      </c>
      <c r="AF303" s="12" t="s">
        <v>12</v>
      </c>
      <c r="AG303" s="12" t="s">
        <v>13</v>
      </c>
      <c r="AH303" s="12" t="s">
        <v>14</v>
      </c>
      <c r="AI303" s="13"/>
      <c r="AJ303" s="12" t="s">
        <v>3</v>
      </c>
      <c r="AK303" s="12" t="s">
        <v>4</v>
      </c>
      <c r="AL303" s="12" t="s">
        <v>5</v>
      </c>
      <c r="AM303" s="12" t="s">
        <v>6</v>
      </c>
      <c r="AN303" s="12" t="s">
        <v>7</v>
      </c>
      <c r="AO303" s="12" t="s">
        <v>8</v>
      </c>
      <c r="AP303" s="12" t="s">
        <v>9</v>
      </c>
      <c r="AQ303" s="12" t="s">
        <v>10</v>
      </c>
      <c r="AR303" s="12" t="s">
        <v>11</v>
      </c>
      <c r="AS303" s="12" t="s">
        <v>12</v>
      </c>
      <c r="AT303" s="12" t="s">
        <v>13</v>
      </c>
      <c r="AU303" s="12" t="s">
        <v>14</v>
      </c>
      <c r="AW303" s="12" t="s">
        <v>3</v>
      </c>
      <c r="AX303" s="12" t="s">
        <v>4</v>
      </c>
      <c r="AY303" s="12" t="s">
        <v>5</v>
      </c>
      <c r="AZ303" s="12" t="s">
        <v>6</v>
      </c>
      <c r="BA303" s="12" t="s">
        <v>7</v>
      </c>
      <c r="BB303" s="12" t="s">
        <v>8</v>
      </c>
      <c r="BC303" s="12" t="s">
        <v>9</v>
      </c>
      <c r="BD303" s="12" t="s">
        <v>10</v>
      </c>
      <c r="BE303" s="12" t="s">
        <v>11</v>
      </c>
      <c r="BF303" s="12" t="s">
        <v>12</v>
      </c>
      <c r="BG303" s="12" t="s">
        <v>13</v>
      </c>
      <c r="BH303" s="12" t="s">
        <v>14</v>
      </c>
    </row>
    <row r="304" spans="3:64" x14ac:dyDescent="0.3">
      <c r="L304" t="s">
        <v>119</v>
      </c>
      <c r="N304" t="s">
        <v>119</v>
      </c>
      <c r="P304" t="s">
        <v>171</v>
      </c>
      <c r="Q304" t="s">
        <v>172</v>
      </c>
      <c r="R304" t="s">
        <v>175</v>
      </c>
      <c r="S304" t="s">
        <v>177</v>
      </c>
      <c r="T304" t="s">
        <v>178</v>
      </c>
      <c r="U304" t="s">
        <v>179</v>
      </c>
      <c r="V304" t="s">
        <v>179</v>
      </c>
      <c r="W304" s="4"/>
      <c r="X304" s="4"/>
      <c r="Y304" s="4"/>
      <c r="Z304" s="4"/>
      <c r="AA304" s="4"/>
      <c r="AB304" s="4"/>
      <c r="AC304" s="4"/>
      <c r="AD304" s="4"/>
      <c r="AE304" s="4"/>
      <c r="AF304" s="4"/>
      <c r="AG304" s="4"/>
      <c r="AH304" s="4"/>
      <c r="AI304" s="10"/>
      <c r="AJ304" s="4"/>
      <c r="AK304" s="4"/>
      <c r="AL304" s="4"/>
      <c r="AM304" s="4"/>
      <c r="AN304" s="4"/>
      <c r="AO304" s="4"/>
      <c r="AP304" s="4"/>
      <c r="AQ304" s="4"/>
      <c r="AR304" s="4"/>
      <c r="AS304" s="4"/>
      <c r="AT304" s="4"/>
      <c r="AU304" s="4"/>
      <c r="AW304" s="4"/>
      <c r="AX304" s="4"/>
      <c r="AY304" s="4"/>
      <c r="AZ304" s="4"/>
      <c r="BA304" s="4"/>
      <c r="BB304" s="4"/>
      <c r="BC304" s="4"/>
      <c r="BD304" s="4"/>
      <c r="BE304" s="4"/>
      <c r="BF304" s="4"/>
      <c r="BG304" s="4"/>
      <c r="BH304" s="4"/>
      <c r="BL304" t="s">
        <v>63</v>
      </c>
    </row>
    <row r="305" spans="9:64" x14ac:dyDescent="0.3">
      <c r="L305" s="16" t="str">
        <f>'Drop-down'!$AX$5</f>
        <v>nvt</v>
      </c>
      <c r="N305" s="14">
        <f ca="1">IF('Drop-down'!$BA$5="vul in",0,'Drop-down'!$BA$5)</f>
        <v>0</v>
      </c>
      <c r="P305">
        <v>0</v>
      </c>
      <c r="Q305">
        <v>1</v>
      </c>
      <c r="R305" t="str">
        <f ca="1">IF(N305=P305,"ja","nee")</f>
        <v>ja</v>
      </c>
      <c r="S305" t="str">
        <f ca="1">IF(AND(N305&gt;P305,N305&lt;P306),Q305,"n.v.t.")</f>
        <v>n.v.t.</v>
      </c>
      <c r="T305" t="str">
        <f t="shared" ref="T305:T311" ca="1" si="211">IF(S305="n.v.t.","n.v.t.",Q305+1)</f>
        <v>n.v.t.</v>
      </c>
      <c r="U305" t="str">
        <f ca="1">IF(S305="n.v.t.","n.v.t.",(P306-N305)/(P306-P305))</f>
        <v>n.v.t.</v>
      </c>
      <c r="V305" t="str">
        <f ca="1">IF(T305="n.v.t.","n.v.t.",(N305-P305)/(P306-P305))</f>
        <v>n.v.t.</v>
      </c>
      <c r="W305" s="4" cm="1">
        <f t="array" ref="W305">INDEX(Datablad!$E$70:$L$83,W302+2,M306)</f>
        <v>28</v>
      </c>
      <c r="X305" s="4" cm="1">
        <f t="array" ref="X305">INDEX(Datablad!$E$70:$L$83,X302+2,M306)</f>
        <v>49.3</v>
      </c>
      <c r="Y305" s="4" cm="1">
        <f t="array" ref="Y305">INDEX(Datablad!$E$70:$L$83,Y302+2,M306)</f>
        <v>96.6</v>
      </c>
      <c r="Z305" s="4" cm="1">
        <f t="array" ref="Z305">INDEX(Datablad!$E$70:$L$83,Z302+2,M306)</f>
        <v>160.5</v>
      </c>
      <c r="AA305" s="4" cm="1">
        <f t="array" ref="AA305">INDEX(Datablad!$E$70:$L$83,AA302+2,M306)</f>
        <v>197</v>
      </c>
      <c r="AB305" s="4" cm="1">
        <f t="array" ref="AB305">INDEX(Datablad!$E$70:$L$83,AB302+2,M306)</f>
        <v>209.3</v>
      </c>
      <c r="AC305" s="4" cm="1">
        <f t="array" ref="AC305">INDEX(Datablad!$E$70:$L$83,AC302+2,M306)</f>
        <v>191</v>
      </c>
      <c r="AD305" s="4" cm="1">
        <f t="array" ref="AD305">INDEX(Datablad!$E$70:$L$83,AD302+2,M306)</f>
        <v>177.2</v>
      </c>
      <c r="AE305" s="4" cm="1">
        <f t="array" ref="AE305">INDEX(Datablad!$E$70:$L$83,AE302+2,M306)</f>
        <v>123.9</v>
      </c>
      <c r="AF305" s="4" cm="1">
        <f t="array" ref="AF305">INDEX(Datablad!$E$70:$L$83,AF302+2,M306)</f>
        <v>73.2</v>
      </c>
      <c r="AG305" s="4" cm="1">
        <f t="array" ref="AG305">INDEX(Datablad!$E$70:$L$83,AG302+2,M306)</f>
        <v>34.299999999999997</v>
      </c>
      <c r="AH305" s="4" cm="1">
        <f t="array" ref="AH305">INDEX(Datablad!$E$70:$L$83,AH302+2,M306)</f>
        <v>21</v>
      </c>
      <c r="AI305" s="10"/>
      <c r="AJ305" s="4" cm="1">
        <f t="array" ref="AJ305">INDEX(Datablad!$N$70:$U$83,AJ302+2,M306)</f>
        <v>14.9</v>
      </c>
      <c r="AK305" s="4" cm="1">
        <f t="array" ref="AK305">INDEX(Datablad!$N$70:$U$83,AK302+2,M306)</f>
        <v>27.2</v>
      </c>
      <c r="AL305" s="4" cm="1">
        <f t="array" ref="AL305">INDEX(Datablad!$N$70:$U$83,AL302+2,M306)</f>
        <v>56.4</v>
      </c>
      <c r="AM305" s="4" cm="1">
        <f t="array" ref="AM305">INDEX(Datablad!$N$70:$U$83,AM302+2,M306)</f>
        <v>104.6</v>
      </c>
      <c r="AN305" s="4" cm="1">
        <f t="array" ref="AN305">INDEX(Datablad!$N$70:$U$83,AN302+2,M306)</f>
        <v>148.5</v>
      </c>
      <c r="AO305" s="4" cm="1">
        <f t="array" ref="AO305">INDEX(Datablad!$N$70:$U$83,AO302+2,M306)</f>
        <v>171</v>
      </c>
      <c r="AP305" s="4" cm="1">
        <f t="array" ref="AP305">INDEX(Datablad!$N$70:$U$83,AP302+2,M306)</f>
        <v>153</v>
      </c>
      <c r="AQ305" s="4" cm="1">
        <f t="array" ref="AQ305">INDEX(Datablad!$N$70:$U$83,AQ302+2,M306)</f>
        <v>125.8</v>
      </c>
      <c r="AR305" s="4" cm="1">
        <f t="array" ref="AR305">INDEX(Datablad!$N$70:$U$83,AR302+2,M306)</f>
        <v>73.7</v>
      </c>
      <c r="AS305" s="4" cm="1">
        <f t="array" ref="AS305">INDEX(Datablad!$N$70:$U$83,AS302+2,M306)</f>
        <v>36.299999999999997</v>
      </c>
      <c r="AT305" s="4" cm="1">
        <f t="array" ref="AT305">INDEX(Datablad!$N$70:$U$83,AT302+2,M306)</f>
        <v>18.600000000000001</v>
      </c>
      <c r="AU305" s="4" cm="1">
        <f t="array" ref="AU305">INDEX(Datablad!$N$70:$U$83,AU302+2,M306)</f>
        <v>12.2</v>
      </c>
      <c r="AV305">
        <v>1</v>
      </c>
      <c r="AW305" s="4">
        <f t="shared" ref="AW305:AW311" ca="1" si="212">IF(R305="ja",W305,IF(S305="n.v.t.","n.v.t.",U305*W305+V305*AJ305))</f>
        <v>28</v>
      </c>
      <c r="AX305" s="4">
        <f t="shared" ref="AX305:AX311" ca="1" si="213">IF(R305="ja",X305,IF(S305="n.v.t.","n.v.t.",U305*X305+V305*AK305))</f>
        <v>49.3</v>
      </c>
      <c r="AY305" s="4">
        <f t="shared" ref="AY305:AY311" ca="1" si="214">IF(R305="ja",Y305,IF(S305="n.v.t.","n.v.t.",U305*Y305+V305*AL305))</f>
        <v>96.6</v>
      </c>
      <c r="AZ305" s="4">
        <f t="shared" ref="AZ305:AZ311" ca="1" si="215">IF(R305="ja",Z305,IF(S305="n.v.t.","n.v.t.",U305*Z305+V305*AM305))</f>
        <v>160.5</v>
      </c>
      <c r="BA305" s="4">
        <f t="shared" ref="BA305:BA311" ca="1" si="216">IF(R305="ja",AA305,IF(S305="n.v.t.","n.v.t.",U305*AA305+V305*AN305))</f>
        <v>197</v>
      </c>
      <c r="BB305" s="4">
        <f t="shared" ref="BB305:BB311" ca="1" si="217">IF(R305="ja",AB305,IF(S305="n.v.t.","n.v.t.",U305*AB305+V305*AO305))</f>
        <v>209.3</v>
      </c>
      <c r="BC305" s="4">
        <f t="shared" ref="BC305:BC311" ca="1" si="218">IF(R305="ja",AC305,IF(S305="n.v.t.","n.v.t.",U305*AC305+V305*AP305))</f>
        <v>191</v>
      </c>
      <c r="BD305" s="4">
        <f t="shared" ref="BD305:BD311" ca="1" si="219">IF(R305="ja",AD305,IF(S305="n.v.t.","n.v.t.",U305*AD305+V305*AQ305))</f>
        <v>177.2</v>
      </c>
      <c r="BE305" s="4">
        <f t="shared" ref="BE305:BE311" ca="1" si="220">IF(R305="ja",AE305,IF(S305="n.v.t.","n.v.t.",U305*AE305+V305*AR305))</f>
        <v>123.9</v>
      </c>
      <c r="BF305" s="4">
        <f t="shared" ref="BF305:BF311" ca="1" si="221">IF(R305="ja",AF305,IF(S305="n.v.t.","n.v.t.",U305*AF305+V305*AS305))</f>
        <v>73.2</v>
      </c>
      <c r="BG305" s="4">
        <f t="shared" ref="BG305:BG311" ca="1" si="222">IF(R305="ja",AG305,IF(S305="n.v.t.","n.v.t.",U305*AG305+V305*AT305))</f>
        <v>34.299999999999997</v>
      </c>
      <c r="BH305" s="4">
        <f t="shared" ref="BH305:BH311" ca="1" si="223">IF(R305="ja",AH305,IF(S305="n.v.t.","n.v.t.",U305*AH305+V305*AU305))</f>
        <v>21</v>
      </c>
    </row>
    <row r="306" spans="9:64" x14ac:dyDescent="0.3">
      <c r="L306" t="s">
        <v>187</v>
      </c>
      <c r="M306" s="58">
        <f>IF(L305="nvt",1,VLOOKUP(L305,K309:M317,3,FALSE))</f>
        <v>1</v>
      </c>
      <c r="P306">
        <v>30</v>
      </c>
      <c r="Q306">
        <v>2</v>
      </c>
      <c r="R306" t="str">
        <f ca="1">IF(N305=P306,"ja","nee")</f>
        <v>nee</v>
      </c>
      <c r="S306" t="str">
        <f ca="1">IF(AND(N305&gt;P306,N305&lt;P307),Q306,"n.v.t.")</f>
        <v>n.v.t.</v>
      </c>
      <c r="T306" t="str">
        <f t="shared" ca="1" si="211"/>
        <v>n.v.t.</v>
      </c>
      <c r="U306" t="str">
        <f ca="1">IF(S306="n.v.t.","n.v.t.",(P307-N305)/(P307-P306))</f>
        <v>n.v.t.</v>
      </c>
      <c r="V306" t="str">
        <f ca="1">IF(T306="n.v.t.","n.v.t.",(N305-P306)/(P307-P306))</f>
        <v>n.v.t.</v>
      </c>
      <c r="W306" s="4" cm="1">
        <f t="array" ref="W306">INDEX(Datablad!$N$70:$U$83,W302+2,M306)</f>
        <v>14.9</v>
      </c>
      <c r="X306" s="4" cm="1">
        <f t="array" ref="X306">INDEX(Datablad!$N$70:$U$83,X302+2,M306)</f>
        <v>27.2</v>
      </c>
      <c r="Y306" s="4" cm="1">
        <f t="array" ref="Y306">INDEX(Datablad!$N$70:$U$83,Y302+2,M306)</f>
        <v>56.4</v>
      </c>
      <c r="Z306" s="4" cm="1">
        <f t="array" ref="Z306">INDEX(Datablad!$N$70:$U$83,Z302+2,M306)</f>
        <v>104.6</v>
      </c>
      <c r="AA306" s="4" cm="1">
        <f t="array" ref="AA306">INDEX(Datablad!$N$70:$U$83,AA302+2,M306)</f>
        <v>148.5</v>
      </c>
      <c r="AB306" s="4" cm="1">
        <f t="array" ref="AB306">INDEX(Datablad!$N$70:$U$83,AB302+2,M306)</f>
        <v>171</v>
      </c>
      <c r="AC306" s="4" cm="1">
        <f t="array" ref="AC306">INDEX(Datablad!$N$70:$U$83,AC302+2,M306)</f>
        <v>153</v>
      </c>
      <c r="AD306" s="4" cm="1">
        <f t="array" ref="AD306">INDEX(Datablad!$N$70:$U$83,AD302+2,M306)</f>
        <v>125.8</v>
      </c>
      <c r="AE306" s="4" cm="1">
        <f t="array" ref="AE306">INDEX(Datablad!$N$70:$U$83,AE302+2,M306)</f>
        <v>73.7</v>
      </c>
      <c r="AF306" s="4" cm="1">
        <f t="array" ref="AF306">INDEX(Datablad!$N$70:$U$83,AF302+2,M306)</f>
        <v>36.299999999999997</v>
      </c>
      <c r="AG306" s="4" cm="1">
        <f t="array" ref="AG306">INDEX(Datablad!$N$70:$U$83,AG302+2,M306)</f>
        <v>18.600000000000001</v>
      </c>
      <c r="AH306" s="4" cm="1">
        <f t="array" ref="AH306">INDEX(Datablad!$N$70:$U$83,AH302+2,M306)</f>
        <v>12.2</v>
      </c>
      <c r="AI306" s="10"/>
      <c r="AJ306" s="4" cm="1">
        <f t="array" ref="AJ306">INDEX(Datablad!$W$70:$AD$83,AJ302+2,M306)</f>
        <v>14.3</v>
      </c>
      <c r="AK306" s="4" cm="1">
        <f t="array" ref="AK306">INDEX(Datablad!$W$70:$AD$83,AK302+2,M306)</f>
        <v>25.9</v>
      </c>
      <c r="AL306" s="4" cm="1">
        <f t="array" ref="AL306">INDEX(Datablad!$W$70:$AD$83,AL302+2,M306)</f>
        <v>44.3</v>
      </c>
      <c r="AM306" s="4" cm="1">
        <f t="array" ref="AM306">INDEX(Datablad!$W$70:$AD$83,AM302+2,M306)</f>
        <v>70</v>
      </c>
      <c r="AN306" s="4" cm="1">
        <f t="array" ref="AN306">INDEX(Datablad!$W$70:$AD$83,AN302+2,M306)</f>
        <v>113.6</v>
      </c>
      <c r="AO306" s="4" cm="1">
        <f t="array" ref="AO306">INDEX(Datablad!$W$70:$AD$83,AO302+2,M306)</f>
        <v>139.6</v>
      </c>
      <c r="AP306" s="4" cm="1">
        <f t="array" ref="AP306">INDEX(Datablad!$W$70:$AD$83,AP302+2,M306)</f>
        <v>123.5</v>
      </c>
      <c r="AQ306" s="4" cm="1">
        <f t="array" ref="AQ306">INDEX(Datablad!$W$70:$AD$83,AQ302+2,M306)</f>
        <v>91.5</v>
      </c>
      <c r="AR306" s="4" cm="1">
        <f t="array" ref="AR306">INDEX(Datablad!$W$70:$AD$83,AR302+2,M306)</f>
        <v>52.9</v>
      </c>
      <c r="AS306" s="4" cm="1">
        <f t="array" ref="AS306">INDEX(Datablad!$W$70:$AD$83,AS302+2,M306)</f>
        <v>33.5</v>
      </c>
      <c r="AT306" s="4" cm="1">
        <f t="array" ref="AT306">INDEX(Datablad!$W$70:$AD$83,AT302+2,M306)</f>
        <v>17.8</v>
      </c>
      <c r="AU306" s="4" cm="1">
        <f t="array" ref="AU306">INDEX(Datablad!$W$70:$AD$83,AU302+2,M306)</f>
        <v>11.7</v>
      </c>
      <c r="AV306">
        <v>2</v>
      </c>
      <c r="AW306" s="4" t="str">
        <f t="shared" ca="1" si="212"/>
        <v>n.v.t.</v>
      </c>
      <c r="AX306" s="4" t="str">
        <f t="shared" ca="1" si="213"/>
        <v>n.v.t.</v>
      </c>
      <c r="AY306" s="4" t="str">
        <f t="shared" ca="1" si="214"/>
        <v>n.v.t.</v>
      </c>
      <c r="AZ306" s="4" t="str">
        <f t="shared" ca="1" si="215"/>
        <v>n.v.t.</v>
      </c>
      <c r="BA306" s="4" t="str">
        <f t="shared" ca="1" si="216"/>
        <v>n.v.t.</v>
      </c>
      <c r="BB306" s="4" t="str">
        <f t="shared" ca="1" si="217"/>
        <v>n.v.t.</v>
      </c>
      <c r="BC306" s="4" t="str">
        <f t="shared" ca="1" si="218"/>
        <v>n.v.t.</v>
      </c>
      <c r="BD306" s="4" t="str">
        <f t="shared" ca="1" si="219"/>
        <v>n.v.t.</v>
      </c>
      <c r="BE306" s="4" t="str">
        <f t="shared" ca="1" si="220"/>
        <v>n.v.t.</v>
      </c>
      <c r="BF306" s="4" t="str">
        <f t="shared" ca="1" si="221"/>
        <v>n.v.t.</v>
      </c>
      <c r="BG306" s="4" t="str">
        <f t="shared" ca="1" si="222"/>
        <v>n.v.t.</v>
      </c>
      <c r="BH306" s="4" t="str">
        <f t="shared" ca="1" si="223"/>
        <v>n.v.t.</v>
      </c>
      <c r="BL306" t="s">
        <v>65</v>
      </c>
    </row>
    <row r="307" spans="9:64" x14ac:dyDescent="0.3">
      <c r="M307" s="58" t="str">
        <f>IF(L305="nvt","ho",VLOOKUP(L305,K309:M317,2,FALSE))</f>
        <v>ho</v>
      </c>
      <c r="P307">
        <v>45</v>
      </c>
      <c r="Q307">
        <v>3</v>
      </c>
      <c r="R307" t="str">
        <f ca="1">IF(N305=P307,"ja","nee")</f>
        <v>nee</v>
      </c>
      <c r="S307" t="str">
        <f ca="1">IF(AND(N305&gt;P307,N305&lt;P308),Q307,"n.v.t.")</f>
        <v>n.v.t.</v>
      </c>
      <c r="T307" t="str">
        <f t="shared" ca="1" si="211"/>
        <v>n.v.t.</v>
      </c>
      <c r="U307" t="str">
        <f ca="1">IF(S307="n.v.t.","n.v.t.",(P308-N305)/(P308-P307))</f>
        <v>n.v.t.</v>
      </c>
      <c r="V307" t="str">
        <f ca="1">IF(T307="n.v.t.","n.v.t.",(N305-P307)/(P308-P307))</f>
        <v>n.v.t.</v>
      </c>
      <c r="W307" s="4" cm="1">
        <f t="array" ref="W307">INDEX(Datablad!$W$70:$AD$83,W302+2,M306)</f>
        <v>14.3</v>
      </c>
      <c r="X307" s="4" cm="1">
        <f t="array" ref="X307">INDEX(Datablad!$W$70:$AD$83,X302+2,M306)</f>
        <v>25.9</v>
      </c>
      <c r="Y307" s="4" cm="1">
        <f t="array" ref="Y307">INDEX(Datablad!$W$70:$AD$83,Y302+2,M306)</f>
        <v>44.3</v>
      </c>
      <c r="Z307" s="4" cm="1">
        <f t="array" ref="Z307">INDEX(Datablad!$W$70:$AD$83,Z302+2,M306)</f>
        <v>70</v>
      </c>
      <c r="AA307" s="4" cm="1">
        <f t="array" ref="AA307">INDEX(Datablad!$W$70:$AD$83,AA302+2,M306)</f>
        <v>113.6</v>
      </c>
      <c r="AB307" s="4" cm="1">
        <f t="array" ref="AB307">INDEX(Datablad!$W$70:$AD$83,AB302+2,M306)</f>
        <v>139.6</v>
      </c>
      <c r="AC307" s="4" cm="1">
        <f t="array" ref="AC307">INDEX(Datablad!$W$70:$AD$83,AC302+2,M306)</f>
        <v>123.5</v>
      </c>
      <c r="AD307" s="4" cm="1">
        <f t="array" ref="AD307">INDEX(Datablad!$W$70:$AD$83,AD302+2,M306)</f>
        <v>91.5</v>
      </c>
      <c r="AE307" s="4" cm="1">
        <f t="array" ref="AE307">INDEX(Datablad!$W$70:$AD$83,AE302+2,M306)</f>
        <v>52.9</v>
      </c>
      <c r="AF307" s="4" cm="1">
        <f t="array" ref="AF307">INDEX(Datablad!$W$70:$AD$83,AF302+2,M306)</f>
        <v>33.5</v>
      </c>
      <c r="AG307" s="4" cm="1">
        <f t="array" ref="AG307">INDEX(Datablad!$W$70:$AD$83,AG302+2,M306)</f>
        <v>17.8</v>
      </c>
      <c r="AH307" s="4" cm="1">
        <f t="array" ref="AH307">INDEX(Datablad!$W$70:$AD$83,AH302+2,M306)</f>
        <v>11.7</v>
      </c>
      <c r="AI307" s="10"/>
      <c r="AJ307" s="4" cm="1">
        <f t="array" ref="AJ307">INDEX(Datablad!$AF$70:$AM$83,AJ302+2,M306)</f>
        <v>13.4</v>
      </c>
      <c r="AK307" s="4" cm="1">
        <f t="array" ref="AK307">INDEX(Datablad!$AF$70:$AM$83,AK302+2,M306)</f>
        <v>24.1</v>
      </c>
      <c r="AL307" s="4" cm="1">
        <f t="array" ref="AL307">INDEX(Datablad!$AF$70:$AM$83,AL302+2,M306)</f>
        <v>41.5</v>
      </c>
      <c r="AM307" s="4" cm="1">
        <f t="array" ref="AM307">INDEX(Datablad!$AF$70:$AM$83,AM302+2,M306)</f>
        <v>57.8</v>
      </c>
      <c r="AN307" s="4" cm="1">
        <f t="array" ref="AN307">INDEX(Datablad!$AF$70:$AM$83,AN302+2,M306)</f>
        <v>78.5</v>
      </c>
      <c r="AO307" s="4" cm="1">
        <f t="array" ref="AO307">INDEX(Datablad!$AF$70:$AM$83,AO302+2,M306)</f>
        <v>102.9</v>
      </c>
      <c r="AP307" s="4" cm="1">
        <f t="array" ref="AP307">INDEX(Datablad!$AF$70:$AM$83,AP302+2,M306)</f>
        <v>90.4</v>
      </c>
      <c r="AQ307" s="4" cm="1">
        <f t="array" ref="AQ307">INDEX(Datablad!$AF$70:$AM$83,AQ302+2,M306)</f>
        <v>68</v>
      </c>
      <c r="AR307" s="4" cm="1">
        <f t="array" ref="AR307">INDEX(Datablad!$AF$70:$AM$83,AR302+2,M306)</f>
        <v>48.6</v>
      </c>
      <c r="AS307" s="4" cm="1">
        <f t="array" ref="AS307">INDEX(Datablad!$AF$70:$AM$83,AS302+2,M306)</f>
        <v>31.5</v>
      </c>
      <c r="AT307" s="4" cm="1">
        <f t="array" ref="AT307">INDEX(Datablad!$AF$70:$AM$83,AT302+2,M306)</f>
        <v>16.600000000000001</v>
      </c>
      <c r="AU307" s="4" cm="1">
        <f t="array" ref="AU307">INDEX(Datablad!$AF$70:$AM$83,AU302+2,M306)</f>
        <v>10.9</v>
      </c>
      <c r="AV307">
        <v>3</v>
      </c>
      <c r="AW307" s="4" t="str">
        <f t="shared" ca="1" si="212"/>
        <v>n.v.t.</v>
      </c>
      <c r="AX307" s="4" t="str">
        <f t="shared" ca="1" si="213"/>
        <v>n.v.t.</v>
      </c>
      <c r="AY307" s="4" t="str">
        <f t="shared" ca="1" si="214"/>
        <v>n.v.t.</v>
      </c>
      <c r="AZ307" s="4" t="str">
        <f t="shared" ca="1" si="215"/>
        <v>n.v.t.</v>
      </c>
      <c r="BA307" s="4" t="str">
        <f t="shared" ca="1" si="216"/>
        <v>n.v.t.</v>
      </c>
      <c r="BB307" s="4" t="str">
        <f t="shared" ca="1" si="217"/>
        <v>n.v.t.</v>
      </c>
      <c r="BC307" s="4" t="str">
        <f t="shared" ca="1" si="218"/>
        <v>n.v.t.</v>
      </c>
      <c r="BD307" s="4" t="str">
        <f t="shared" ca="1" si="219"/>
        <v>n.v.t.</v>
      </c>
      <c r="BE307" s="4" t="str">
        <f t="shared" ca="1" si="220"/>
        <v>n.v.t.</v>
      </c>
      <c r="BF307" s="4" t="str">
        <f t="shared" ca="1" si="221"/>
        <v>n.v.t.</v>
      </c>
      <c r="BG307" s="4" t="str">
        <f t="shared" ca="1" si="222"/>
        <v>n.v.t.</v>
      </c>
      <c r="BH307" s="4" t="str">
        <f t="shared" ca="1" si="223"/>
        <v>n.v.t.</v>
      </c>
    </row>
    <row r="308" spans="9:64" x14ac:dyDescent="0.3">
      <c r="K308" t="s">
        <v>366</v>
      </c>
      <c r="L308" t="s">
        <v>367</v>
      </c>
      <c r="M308" t="s">
        <v>370</v>
      </c>
      <c r="P308">
        <v>60</v>
      </c>
      <c r="Q308">
        <v>4</v>
      </c>
      <c r="R308" t="str">
        <f ca="1">IF(N305=P308,"ja","nee")</f>
        <v>nee</v>
      </c>
      <c r="S308" t="str">
        <f ca="1">IF(AND(N305&gt;P308,N305&lt;P309),Q308,"n.v.t.")</f>
        <v>n.v.t.</v>
      </c>
      <c r="T308" t="str">
        <f t="shared" ca="1" si="211"/>
        <v>n.v.t.</v>
      </c>
      <c r="U308" t="str">
        <f ca="1">IF(S308="n.v.t.","n.v.t.",(P309-N305)/(P309-P308))</f>
        <v>n.v.t.</v>
      </c>
      <c r="V308" t="str">
        <f ca="1">IF(T308="n.v.t.","n.v.t.",(N305-P308)/(P309-P308))</f>
        <v>n.v.t.</v>
      </c>
      <c r="W308" s="4" cm="1">
        <f t="array" ref="W308">INDEX(Datablad!$AF$70:$AM$83,W302+2,M306)</f>
        <v>13.4</v>
      </c>
      <c r="X308" s="4" cm="1">
        <f t="array" ref="X308">INDEX(Datablad!$AF$70:$AM$83,X302+2,M306)</f>
        <v>24.1</v>
      </c>
      <c r="Y308" s="4" cm="1">
        <f t="array" ref="Y308">INDEX(Datablad!$AF$70:$AM$83,Y302+2,M306)</f>
        <v>41.5</v>
      </c>
      <c r="Z308" s="4" cm="1">
        <f t="array" ref="Z308">INDEX(Datablad!$AF$70:$AM$83,Z302+2,M306)</f>
        <v>57.8</v>
      </c>
      <c r="AA308" s="4" cm="1">
        <f t="array" ref="AA308">INDEX(Datablad!$AF$70:$AM$83,AA302+2,M306)</f>
        <v>78.5</v>
      </c>
      <c r="AB308" s="4" cm="1">
        <f t="array" ref="AB308">INDEX(Datablad!$AF$70:$AM$83,AB302+2,M306)</f>
        <v>102.9</v>
      </c>
      <c r="AC308" s="4" cm="1">
        <f t="array" ref="AC308">INDEX(Datablad!$AF$70:$AM$83,AC302+2,M306)</f>
        <v>90.4</v>
      </c>
      <c r="AD308" s="4" cm="1">
        <f t="array" ref="AD308">INDEX(Datablad!$AF$70:$AM$83,AD302+2,M306)</f>
        <v>68</v>
      </c>
      <c r="AE308" s="4" cm="1">
        <f t="array" ref="AE308">INDEX(Datablad!$AF$70:$AM$83,AE302+2,M306)</f>
        <v>48.6</v>
      </c>
      <c r="AF308" s="4" cm="1">
        <f t="array" ref="AF308">INDEX(Datablad!$AF$70:$AM$83,AF302+2,M306)</f>
        <v>31.5</v>
      </c>
      <c r="AG308" s="4" cm="1">
        <f t="array" ref="AG308">INDEX(Datablad!$AF$70:$AM$83,AG302+2,M306)</f>
        <v>16.600000000000001</v>
      </c>
      <c r="AH308" s="4" cm="1">
        <f t="array" ref="AH308">INDEX(Datablad!$AF$70:$AM$83,AH302+2,M306)</f>
        <v>10.9</v>
      </c>
      <c r="AI308" s="10"/>
      <c r="AJ308" s="4" cm="1">
        <f t="array" ref="AJ308">INDEX(Datablad!$AO$70:$AV$83,AJ302+2,M306)</f>
        <v>11.1</v>
      </c>
      <c r="AK308" s="4" cm="1">
        <f t="array" ref="AK308">INDEX(Datablad!$AO$70:$AV$83,AK302+2,M306)</f>
        <v>19.5</v>
      </c>
      <c r="AL308" s="4" cm="1">
        <f t="array" ref="AL308">INDEX(Datablad!$AO$70:$AV$83,AL302+2,M306)</f>
        <v>34.799999999999997</v>
      </c>
      <c r="AM308" s="4" cm="1">
        <f t="array" ref="AM308">INDEX(Datablad!$AO$70:$AV$83,AM302+2,M306)</f>
        <v>49.4</v>
      </c>
      <c r="AN308" s="4" cm="1">
        <f t="array" ref="AN308">INDEX(Datablad!$AO$70:$AV$83,AN302+2,M306)</f>
        <v>61.9</v>
      </c>
      <c r="AO308" s="4" cm="1">
        <f t="array" ref="AO308">INDEX(Datablad!$AO$70:$AV$83,AO302+2,M306)</f>
        <v>73</v>
      </c>
      <c r="AP308" s="4" cm="1">
        <f t="array" ref="AP308">INDEX(Datablad!$AO$70:$AV$83,AP302+2,M306)</f>
        <v>66.7</v>
      </c>
      <c r="AQ308" s="4" cm="1">
        <f t="array" ref="AQ308">INDEX(Datablad!$AO$70:$AV$83,AQ302+2,M306)</f>
        <v>55.9</v>
      </c>
      <c r="AR308" s="4" cm="1">
        <f t="array" ref="AR308">INDEX(Datablad!$AO$70:$AV$83,AR302+2,M306)</f>
        <v>41.4</v>
      </c>
      <c r="AS308" s="4" cm="1">
        <f t="array" ref="AS308">INDEX(Datablad!$AO$70:$AV$83,AS302+2,M306)</f>
        <v>26.4</v>
      </c>
      <c r="AT308" s="4" cm="1">
        <f t="array" ref="AT308">INDEX(Datablad!$AO$70:$AV$83,AT302+2,M306)</f>
        <v>13.6</v>
      </c>
      <c r="AU308" s="4" cm="1">
        <f t="array" ref="AU308">INDEX(Datablad!$AO$70:$AV$83,AU302+2,M306)</f>
        <v>8.9</v>
      </c>
      <c r="AV308">
        <v>4</v>
      </c>
      <c r="AW308" s="4" t="str">
        <f t="shared" ca="1" si="212"/>
        <v>n.v.t.</v>
      </c>
      <c r="AX308" s="4" t="str">
        <f t="shared" ca="1" si="213"/>
        <v>n.v.t.</v>
      </c>
      <c r="AY308" s="4" t="str">
        <f t="shared" ca="1" si="214"/>
        <v>n.v.t.</v>
      </c>
      <c r="AZ308" s="4" t="str">
        <f t="shared" ca="1" si="215"/>
        <v>n.v.t.</v>
      </c>
      <c r="BA308" s="4" t="str">
        <f t="shared" ca="1" si="216"/>
        <v>n.v.t.</v>
      </c>
      <c r="BB308" s="4" t="str">
        <f t="shared" ca="1" si="217"/>
        <v>n.v.t.</v>
      </c>
      <c r="BC308" s="4" t="str">
        <f t="shared" ca="1" si="218"/>
        <v>n.v.t.</v>
      </c>
      <c r="BD308" s="4" t="str">
        <f t="shared" ca="1" si="219"/>
        <v>n.v.t.</v>
      </c>
      <c r="BE308" s="4" t="str">
        <f t="shared" ca="1" si="220"/>
        <v>n.v.t.</v>
      </c>
      <c r="BF308" s="4" t="str">
        <f t="shared" ca="1" si="221"/>
        <v>n.v.t.</v>
      </c>
      <c r="BG308" s="4" t="str">
        <f t="shared" ca="1" si="222"/>
        <v>n.v.t.</v>
      </c>
      <c r="BH308" s="4" t="str">
        <f t="shared" ca="1" si="223"/>
        <v>n.v.t.</v>
      </c>
      <c r="BL308" t="s">
        <v>64</v>
      </c>
    </row>
    <row r="309" spans="9:64" x14ac:dyDescent="0.3">
      <c r="K309">
        <v>1</v>
      </c>
      <c r="L309" s="11" t="s">
        <v>368</v>
      </c>
      <c r="M309">
        <v>1</v>
      </c>
      <c r="P309">
        <v>90</v>
      </c>
      <c r="Q309">
        <v>5</v>
      </c>
      <c r="R309" t="str">
        <f ca="1">IF(N305=P309,"ja","nee")</f>
        <v>nee</v>
      </c>
      <c r="S309" t="str">
        <f ca="1">IF(AND(N305&gt;P309,N305&lt;P310),Q309,"n.v.t.")</f>
        <v>n.v.t.</v>
      </c>
      <c r="T309" t="str">
        <f t="shared" ca="1" si="211"/>
        <v>n.v.t.</v>
      </c>
      <c r="U309" t="str">
        <f ca="1">IF(S309="n.v.t.","n.v.t.",(P310-N305)/(P310-P309))</f>
        <v>n.v.t.</v>
      </c>
      <c r="V309" t="str">
        <f ca="1">IF(T309="n.v.t.","n.v.t.",(N305-P309)/(P310-P309))</f>
        <v>n.v.t.</v>
      </c>
      <c r="W309" s="4" cm="1">
        <f t="array" ref="W309">INDEX(Datablad!$AO$70:$AV$83,W302+2,M306)</f>
        <v>11.1</v>
      </c>
      <c r="X309" s="4" cm="1">
        <f t="array" ref="X309">INDEX(Datablad!$AO$70:$AV$83,X302+2,M306)</f>
        <v>19.5</v>
      </c>
      <c r="Y309" s="4" cm="1">
        <f t="array" ref="Y309">INDEX(Datablad!$AO$70:$AV$83,Y302+2,M306)</f>
        <v>34.799999999999997</v>
      </c>
      <c r="Z309" s="4" cm="1">
        <f t="array" ref="Z309">INDEX(Datablad!$AO$70:$AV$83,Z302+2,M306)</f>
        <v>49.4</v>
      </c>
      <c r="AA309" s="4" cm="1">
        <f t="array" ref="AA309">INDEX(Datablad!$AO$70:$AV$83,AA302+2,M306)</f>
        <v>61.9</v>
      </c>
      <c r="AB309" s="4" cm="1">
        <f t="array" ref="AB309">INDEX(Datablad!$AO$70:$AV$83,AB302+2,M306)</f>
        <v>73</v>
      </c>
      <c r="AC309" s="4" cm="1">
        <f t="array" ref="AC309">INDEX(Datablad!$AO$70:$AV$83,AC302+2,M306)</f>
        <v>66.7</v>
      </c>
      <c r="AD309" s="4" cm="1">
        <f t="array" ref="AD309">INDEX(Datablad!$AO$70:$AV$83,AD302+2,M306)</f>
        <v>55.9</v>
      </c>
      <c r="AE309" s="4" cm="1">
        <f t="array" ref="AE309">INDEX(Datablad!$AO$70:$AV$83,AE302+2,M306)</f>
        <v>41.4</v>
      </c>
      <c r="AF309" s="4" cm="1">
        <f t="array" ref="AF309">INDEX(Datablad!$AO$70:$AV$83,AF302+2,M306)</f>
        <v>26.4</v>
      </c>
      <c r="AG309" s="4" cm="1">
        <f t="array" ref="AG309">INDEX(Datablad!$AO$70:$AV$83,AG302+2,M306)</f>
        <v>13.6</v>
      </c>
      <c r="AH309" s="4" cm="1">
        <f t="array" ref="AH309">INDEX(Datablad!$AO$70:$AV$83,AH302+2,M306)</f>
        <v>8.9</v>
      </c>
      <c r="AI309" s="10"/>
      <c r="AJ309" s="4" cm="1">
        <f t="array" ref="AJ309">INDEX(Datablad!$AX$70:$BE$83,AJ302+2,M306)</f>
        <v>7.5</v>
      </c>
      <c r="AK309" s="4" cm="1">
        <f t="array" ref="AK309">INDEX(Datablad!$AX$70:$BE$83,AK302+2,M306)</f>
        <v>12.9</v>
      </c>
      <c r="AL309" s="4" cm="1">
        <f t="array" ref="AL309">INDEX(Datablad!$AX$70:$BE$83,AL302+2,M306)</f>
        <v>24.5</v>
      </c>
      <c r="AM309" s="4" cm="1">
        <f t="array" ref="AM309">INDEX(Datablad!$AX$70:$BE$83,AM302+2,M306)</f>
        <v>38.299999999999997</v>
      </c>
      <c r="AN309" s="4" cm="1">
        <f t="array" ref="AN309">INDEX(Datablad!$AX$70:$BE$83,AN302+2,M306)</f>
        <v>46.7</v>
      </c>
      <c r="AO309" s="4" cm="1">
        <f t="array" ref="AO309">INDEX(Datablad!$AX$70:$BE$83,AO302+2,M306)</f>
        <v>50.6</v>
      </c>
      <c r="AP309" s="4" cm="1">
        <f t="array" ref="AP309">INDEX(Datablad!$AX$70:$BE$83,AP302+2,M306)</f>
        <v>46.5</v>
      </c>
      <c r="AQ309" s="4" cm="1">
        <f t="array" ref="AQ309">INDEX(Datablad!$AX$70:$BE$83,AQ302+2,M306)</f>
        <v>42.1</v>
      </c>
      <c r="AR309" s="4" cm="1">
        <f t="array" ref="AR309">INDEX(Datablad!$AX$70:$BE$83,AR302+2,M306)</f>
        <v>30.4</v>
      </c>
      <c r="AS309" s="4" cm="1">
        <f t="array" ref="AS309">INDEX(Datablad!$AX$70:$BE$83,AS302+2,M306)</f>
        <v>18.600000000000001</v>
      </c>
      <c r="AT309" s="4" cm="1">
        <f t="array" ref="AT309">INDEX(Datablad!$AX$70:$BE$83,AT302+2,M306)</f>
        <v>9.1</v>
      </c>
      <c r="AU309" s="4" cm="1">
        <f t="array" ref="AU309">INDEX(Datablad!$AX$70:$BE$83,AU302+2,M306)</f>
        <v>5.8</v>
      </c>
      <c r="AV309">
        <v>5</v>
      </c>
      <c r="AW309" s="4" t="str">
        <f t="shared" ca="1" si="212"/>
        <v>n.v.t.</v>
      </c>
      <c r="AX309" s="4" t="str">
        <f t="shared" ca="1" si="213"/>
        <v>n.v.t.</v>
      </c>
      <c r="AY309" s="4" t="str">
        <f t="shared" ca="1" si="214"/>
        <v>n.v.t.</v>
      </c>
      <c r="AZ309" s="4" t="str">
        <f t="shared" ca="1" si="215"/>
        <v>n.v.t.</v>
      </c>
      <c r="BA309" s="4" t="str">
        <f t="shared" ca="1" si="216"/>
        <v>n.v.t.</v>
      </c>
      <c r="BB309" s="4" t="str">
        <f t="shared" ca="1" si="217"/>
        <v>n.v.t.</v>
      </c>
      <c r="BC309" s="4" t="str">
        <f t="shared" ca="1" si="218"/>
        <v>n.v.t.</v>
      </c>
      <c r="BD309" s="4" t="str">
        <f t="shared" ca="1" si="219"/>
        <v>n.v.t.</v>
      </c>
      <c r="BE309" s="4" t="str">
        <f t="shared" ca="1" si="220"/>
        <v>n.v.t.</v>
      </c>
      <c r="BF309" s="4" t="str">
        <f t="shared" ca="1" si="221"/>
        <v>n.v.t.</v>
      </c>
      <c r="BG309" s="4" t="str">
        <f t="shared" ca="1" si="222"/>
        <v>n.v.t.</v>
      </c>
      <c r="BH309" s="4" t="str">
        <f t="shared" ca="1" si="223"/>
        <v>n.v.t.</v>
      </c>
    </row>
    <row r="310" spans="9:64" x14ac:dyDescent="0.3">
      <c r="K310">
        <v>2</v>
      </c>
      <c r="L310" s="11" t="s">
        <v>183</v>
      </c>
      <c r="M310">
        <v>5</v>
      </c>
      <c r="P310">
        <v>135</v>
      </c>
      <c r="Q310">
        <v>6</v>
      </c>
      <c r="R310" t="str">
        <f ca="1">IF(N305=P310,"ja","nee")</f>
        <v>nee</v>
      </c>
      <c r="S310" t="str">
        <f ca="1">IF(AND(N305&gt;P310,N305&lt;P311),Q310,"n.v.t.")</f>
        <v>n.v.t.</v>
      </c>
      <c r="T310" t="str">
        <f t="shared" ca="1" si="211"/>
        <v>n.v.t.</v>
      </c>
      <c r="U310" t="str">
        <f ca="1">IF(S310="n.v.t.","n.v.t.",(P311-N305)/(P311-P310))</f>
        <v>n.v.t.</v>
      </c>
      <c r="V310" t="str">
        <f ca="1">IF(T310="n.v.t.","n.v.t.",(N305-P310)/(P311-P310))</f>
        <v>n.v.t.</v>
      </c>
      <c r="W310" s="4" cm="1">
        <f t="array" ref="W310">INDEX(Datablad!$AX$70:$BE$83,W302+2,M306)</f>
        <v>7.5</v>
      </c>
      <c r="X310" s="4" cm="1">
        <f t="array" ref="X310">INDEX(Datablad!$AX$70:$BE$83,X302+2,M306)</f>
        <v>12.9</v>
      </c>
      <c r="Y310" s="4" cm="1">
        <f t="array" ref="Y310">INDEX(Datablad!$AX$70:$BE$83,Y302+2,M306)</f>
        <v>24.5</v>
      </c>
      <c r="Z310" s="4" cm="1">
        <f t="array" ref="Z310">INDEX(Datablad!$AX$70:$BE$83,Z302+2,M306)</f>
        <v>38.299999999999997</v>
      </c>
      <c r="AA310" s="4" cm="1">
        <f t="array" ref="AA310">INDEX(Datablad!$AX$70:$BE$83,AA302+2,M306)</f>
        <v>46.7</v>
      </c>
      <c r="AB310" s="4" cm="1">
        <f t="array" ref="AB310">INDEX(Datablad!$AX$70:$BE$83,AB302+2,M306)</f>
        <v>50.6</v>
      </c>
      <c r="AC310" s="4" cm="1">
        <f t="array" ref="AC310">INDEX(Datablad!$AX$70:$BE$83,AC302+2,M306)</f>
        <v>46.5</v>
      </c>
      <c r="AD310" s="4" cm="1">
        <f t="array" ref="AD310">INDEX(Datablad!$AX$70:$BE$83,AD302+2,M306)</f>
        <v>42.1</v>
      </c>
      <c r="AE310" s="4" cm="1">
        <f t="array" ref="AE310">INDEX(Datablad!$AX$70:$BE$83,AE302+2,M306)</f>
        <v>30.4</v>
      </c>
      <c r="AF310" s="4" cm="1">
        <f t="array" ref="AF310">INDEX(Datablad!$AX$70:$BE$83,AF302+2,M306)</f>
        <v>18.600000000000001</v>
      </c>
      <c r="AG310" s="4" cm="1">
        <f t="array" ref="AG310">INDEX(Datablad!$AX$70:$BE$83,AG302+2,M306)</f>
        <v>9.1</v>
      </c>
      <c r="AH310" s="4" cm="1">
        <f t="array" ref="AH310">INDEX(Datablad!$AX$70:$BE$83,AH302+2,M306)</f>
        <v>5.8</v>
      </c>
      <c r="AI310" s="10"/>
      <c r="AJ310" s="4" cm="1">
        <f t="array" ref="AJ310">INDEX(Datablad!$BG$70:$BN$83,AJ302+2,M306)</f>
        <v>5.6</v>
      </c>
      <c r="AK310" s="4" cm="1">
        <f t="array" ref="AK310">INDEX(Datablad!$BG$70:$BN$83,AK302+2,M306)</f>
        <v>9.8000000000000007</v>
      </c>
      <c r="AL310" s="4" cm="1">
        <f t="array" ref="AL310">INDEX(Datablad!$BG$70:$BN$83,AL302+2,M306)</f>
        <v>19.3</v>
      </c>
      <c r="AM310" s="4" cm="1">
        <f t="array" ref="AM310">INDEX(Datablad!$BG$70:$BN$83,AM302+2,M306)</f>
        <v>32.1</v>
      </c>
      <c r="AN310" s="4" cm="1">
        <f t="array" ref="AN310">INDEX(Datablad!$BG$70:$BN$83,AN302+2,M306)</f>
        <v>39.299999999999997</v>
      </c>
      <c r="AO310" s="4" cm="1">
        <f t="array" ref="AO310">INDEX(Datablad!$BG$70:$BN$83,AO302+2,M306)</f>
        <v>41.8</v>
      </c>
      <c r="AP310" s="4" cm="1">
        <f t="array" ref="AP310">INDEX(Datablad!$BG$70:$BN$83,AP302+2,M306)</f>
        <v>38.200000000000003</v>
      </c>
      <c r="AQ310" s="4" cm="1">
        <f t="array" ref="AQ310">INDEX(Datablad!$BG$70:$BN$83,AQ302+2,M306)</f>
        <v>35.299999999999997</v>
      </c>
      <c r="AR310" s="4" cm="1">
        <f t="array" ref="AR310">INDEX(Datablad!$BG$70:$BN$83,AR302+2,M306)</f>
        <v>24.7</v>
      </c>
      <c r="AS310" s="4" cm="1">
        <f t="array" ref="AS310">INDEX(Datablad!$BG$70:$BN$83,AS302+2,M306)</f>
        <v>14.6</v>
      </c>
      <c r="AT310" s="4" cm="1">
        <f t="array" ref="AT310">INDEX(Datablad!$BG$70:$BN$83,AT302+2,M306)</f>
        <v>6.9</v>
      </c>
      <c r="AU310" s="4" cm="1">
        <f t="array" ref="AU310">INDEX(Datablad!$BG$70:$BN$83,AU302+2,M306)</f>
        <v>4.2</v>
      </c>
      <c r="AV310">
        <v>6</v>
      </c>
      <c r="AW310" s="4" t="str">
        <f t="shared" ca="1" si="212"/>
        <v>n.v.t.</v>
      </c>
      <c r="AX310" s="4" t="str">
        <f t="shared" ca="1" si="213"/>
        <v>n.v.t.</v>
      </c>
      <c r="AY310" s="4" t="str">
        <f t="shared" ca="1" si="214"/>
        <v>n.v.t.</v>
      </c>
      <c r="AZ310" s="4" t="str">
        <f t="shared" ca="1" si="215"/>
        <v>n.v.t.</v>
      </c>
      <c r="BA310" s="4" t="str">
        <f t="shared" ca="1" si="216"/>
        <v>n.v.t.</v>
      </c>
      <c r="BB310" s="4" t="str">
        <f t="shared" ca="1" si="217"/>
        <v>n.v.t.</v>
      </c>
      <c r="BC310" s="4" t="str">
        <f t="shared" ca="1" si="218"/>
        <v>n.v.t.</v>
      </c>
      <c r="BD310" s="4" t="str">
        <f t="shared" ca="1" si="219"/>
        <v>n.v.t.</v>
      </c>
      <c r="BE310" s="4" t="str">
        <f t="shared" ca="1" si="220"/>
        <v>n.v.t.</v>
      </c>
      <c r="BF310" s="4" t="str">
        <f t="shared" ca="1" si="221"/>
        <v>n.v.t.</v>
      </c>
      <c r="BG310" s="4" t="str">
        <f t="shared" ca="1" si="222"/>
        <v>n.v.t.</v>
      </c>
      <c r="BH310" s="4" t="str">
        <f t="shared" ca="1" si="223"/>
        <v>n.v.t.</v>
      </c>
    </row>
    <row r="311" spans="9:64" x14ac:dyDescent="0.3">
      <c r="K311">
        <v>3</v>
      </c>
      <c r="L311" s="11" t="s">
        <v>184</v>
      </c>
      <c r="M311">
        <v>6</v>
      </c>
      <c r="P311">
        <v>180</v>
      </c>
      <c r="Q311">
        <v>7</v>
      </c>
      <c r="R311" t="str">
        <f ca="1">IF(N305=P311,"ja","nee")</f>
        <v>nee</v>
      </c>
      <c r="S311" t="str">
        <f ca="1">IF(AND(N305&gt;P311,N305&lt;P312),Q311,"n.v.t.")</f>
        <v>n.v.t.</v>
      </c>
      <c r="T311" t="str">
        <f t="shared" ca="1" si="211"/>
        <v>n.v.t.</v>
      </c>
      <c r="U311" t="str">
        <f ca="1">IF(S311="n.v.t.","n.v.t.",(P312-N305)/(P312-P311))</f>
        <v>n.v.t.</v>
      </c>
      <c r="V311" t="str">
        <f ca="1">IF(T311="n.v.t.","n.v.t.",(N305-P311)/(P312-P311))</f>
        <v>n.v.t.</v>
      </c>
      <c r="W311" s="4" cm="1">
        <f t="array" ref="W311">INDEX(Datablad!$BG$70:$BN$83,W302+2,M306)</f>
        <v>5.6</v>
      </c>
      <c r="X311" s="4" cm="1">
        <f t="array" ref="X311">INDEX(Datablad!$BG$70:$BN$83,X302+2,M306)</f>
        <v>9.8000000000000007</v>
      </c>
      <c r="Y311" s="4" cm="1">
        <f t="array" ref="Y311">INDEX(Datablad!$BG$70:$BN$83,Y302+2,M306)</f>
        <v>19.3</v>
      </c>
      <c r="Z311" s="4" cm="1">
        <f t="array" ref="Z311">INDEX(Datablad!$BG$70:$BN$83,Z302+2,M306)</f>
        <v>32.1</v>
      </c>
      <c r="AA311" s="4" cm="1">
        <f t="array" ref="AA311">INDEX(Datablad!$BG$70:$BN$83,AA302+2,M306)</f>
        <v>39.299999999999997</v>
      </c>
      <c r="AB311" s="4" cm="1">
        <f t="array" ref="AB311">INDEX(Datablad!$BG$70:$BN$83,AB302+2,M306)</f>
        <v>41.8</v>
      </c>
      <c r="AC311" s="4" cm="1">
        <f t="array" ref="AC311">INDEX(Datablad!$BG$70:$BN$83,AC302+2,M306)</f>
        <v>38.200000000000003</v>
      </c>
      <c r="AD311" s="4" cm="1">
        <f t="array" ref="AD311">INDEX(Datablad!$BG$70:$BN$83,AD302+2,M306)</f>
        <v>35.299999999999997</v>
      </c>
      <c r="AE311" s="4" cm="1">
        <f t="array" ref="AE311">INDEX(Datablad!$BG$70:$BN$83,AE302+2,M306)</f>
        <v>24.7</v>
      </c>
      <c r="AF311" s="4" cm="1">
        <f t="array" ref="AF311">INDEX(Datablad!$BG$70:$BN$83,AF302+2,M306)</f>
        <v>14.6</v>
      </c>
      <c r="AG311" s="4" cm="1">
        <f t="array" ref="AG311">INDEX(Datablad!$BG$70:$BN$83,AG302+2,M306)</f>
        <v>6.9</v>
      </c>
      <c r="AH311" s="4" cm="1">
        <f t="array" ref="AH311">INDEX(Datablad!$BG$70:$BN$83,AH302+2,M306)</f>
        <v>4.2</v>
      </c>
      <c r="AI311" s="10"/>
      <c r="AV311">
        <v>7</v>
      </c>
      <c r="AW311" s="4" t="str">
        <f t="shared" ca="1" si="212"/>
        <v>n.v.t.</v>
      </c>
      <c r="AX311" s="4" t="str">
        <f t="shared" ca="1" si="213"/>
        <v>n.v.t.</v>
      </c>
      <c r="AY311" s="4" t="str">
        <f t="shared" ca="1" si="214"/>
        <v>n.v.t.</v>
      </c>
      <c r="AZ311" s="4" t="str">
        <f t="shared" ca="1" si="215"/>
        <v>n.v.t.</v>
      </c>
      <c r="BA311" s="4" t="str">
        <f t="shared" ca="1" si="216"/>
        <v>n.v.t.</v>
      </c>
      <c r="BB311" s="4" t="str">
        <f t="shared" ca="1" si="217"/>
        <v>n.v.t.</v>
      </c>
      <c r="BC311" s="4" t="str">
        <f t="shared" ca="1" si="218"/>
        <v>n.v.t.</v>
      </c>
      <c r="BD311" s="4" t="str">
        <f t="shared" ca="1" si="219"/>
        <v>n.v.t.</v>
      </c>
      <c r="BE311" s="4" t="str">
        <f t="shared" ca="1" si="220"/>
        <v>n.v.t.</v>
      </c>
      <c r="BF311" s="4" t="str">
        <f t="shared" ca="1" si="221"/>
        <v>n.v.t.</v>
      </c>
      <c r="BG311" s="4" t="str">
        <f t="shared" ca="1" si="222"/>
        <v>n.v.t.</v>
      </c>
      <c r="BH311" s="4" t="str">
        <f t="shared" ca="1" si="223"/>
        <v>n.v.t.</v>
      </c>
    </row>
    <row r="312" spans="9:64" x14ac:dyDescent="0.3">
      <c r="K312">
        <v>4</v>
      </c>
      <c r="L312" s="11" t="s">
        <v>185</v>
      </c>
      <c r="M312">
        <v>7</v>
      </c>
    </row>
    <row r="313" spans="9:64" x14ac:dyDescent="0.3">
      <c r="K313">
        <v>5</v>
      </c>
      <c r="L313" s="11" t="s">
        <v>186</v>
      </c>
      <c r="M313">
        <v>8</v>
      </c>
    </row>
    <row r="314" spans="9:64" x14ac:dyDescent="0.3">
      <c r="K314">
        <v>6</v>
      </c>
      <c r="L314" s="11" t="s">
        <v>180</v>
      </c>
      <c r="M314">
        <v>1</v>
      </c>
    </row>
    <row r="315" spans="9:64" x14ac:dyDescent="0.3">
      <c r="K315">
        <v>7</v>
      </c>
      <c r="L315" s="11" t="s">
        <v>176</v>
      </c>
      <c r="M315">
        <v>2</v>
      </c>
    </row>
    <row r="316" spans="9:64" x14ac:dyDescent="0.3">
      <c r="K316">
        <v>8</v>
      </c>
      <c r="L316" s="11" t="s">
        <v>181</v>
      </c>
      <c r="M316">
        <v>3</v>
      </c>
    </row>
    <row r="317" spans="9:64" x14ac:dyDescent="0.3">
      <c r="K317">
        <v>9</v>
      </c>
      <c r="L317" s="11" t="s">
        <v>182</v>
      </c>
      <c r="M317">
        <v>4</v>
      </c>
      <c r="BL317" t="s">
        <v>66</v>
      </c>
    </row>
    <row r="318" spans="9:64" x14ac:dyDescent="0.3">
      <c r="I318" s="1" t="s">
        <v>230</v>
      </c>
      <c r="T318" t="s">
        <v>199</v>
      </c>
      <c r="U318" t="s">
        <v>172</v>
      </c>
    </row>
    <row r="319" spans="9:64" x14ac:dyDescent="0.3">
      <c r="P319" s="4">
        <v>1</v>
      </c>
      <c r="Q319" t="s">
        <v>147</v>
      </c>
      <c r="T319" t="s">
        <v>198</v>
      </c>
      <c r="U319" t="s">
        <v>200</v>
      </c>
      <c r="V319" t="s">
        <v>201</v>
      </c>
      <c r="BL319" t="s">
        <v>67</v>
      </c>
    </row>
    <row r="320" spans="9:64" x14ac:dyDescent="0.3">
      <c r="P320" s="4">
        <v>2</v>
      </c>
      <c r="Q320" t="s">
        <v>148</v>
      </c>
      <c r="T320" t="s">
        <v>196</v>
      </c>
      <c r="U320" t="s">
        <v>202</v>
      </c>
    </row>
    <row r="321" spans="9:66" x14ac:dyDescent="0.3">
      <c r="P321" s="4">
        <v>3</v>
      </c>
      <c r="Q321" t="s">
        <v>149</v>
      </c>
      <c r="T321" t="s">
        <v>196</v>
      </c>
      <c r="U321" t="s">
        <v>202</v>
      </c>
      <c r="BL321" t="s">
        <v>68</v>
      </c>
    </row>
    <row r="322" spans="9:66" x14ac:dyDescent="0.3">
      <c r="P322" s="4">
        <v>4</v>
      </c>
      <c r="Q322" t="s">
        <v>150</v>
      </c>
      <c r="T322" t="s">
        <v>196</v>
      </c>
      <c r="U322" t="s">
        <v>202</v>
      </c>
    </row>
    <row r="323" spans="9:66" x14ac:dyDescent="0.3">
      <c r="P323" s="4">
        <v>5</v>
      </c>
      <c r="Q323" t="s">
        <v>151</v>
      </c>
      <c r="T323" t="s">
        <v>197</v>
      </c>
      <c r="U323" t="s">
        <v>203</v>
      </c>
    </row>
    <row r="324" spans="9:66" x14ac:dyDescent="0.3">
      <c r="P324" s="4">
        <v>6</v>
      </c>
      <c r="Q324" t="s">
        <v>152</v>
      </c>
      <c r="T324" t="s">
        <v>197</v>
      </c>
      <c r="U324" t="s">
        <v>203</v>
      </c>
    </row>
    <row r="326" spans="9:66" x14ac:dyDescent="0.3">
      <c r="P326" t="s">
        <v>3</v>
      </c>
      <c r="Q326" t="s">
        <v>4</v>
      </c>
      <c r="R326" t="s">
        <v>5</v>
      </c>
      <c r="S326" t="s">
        <v>6</v>
      </c>
      <c r="T326" t="s">
        <v>7</v>
      </c>
      <c r="U326" t="s">
        <v>8</v>
      </c>
      <c r="V326" t="s">
        <v>9</v>
      </c>
      <c r="W326" t="s">
        <v>10</v>
      </c>
      <c r="X326" t="s">
        <v>11</v>
      </c>
      <c r="Y326" t="s">
        <v>12</v>
      </c>
      <c r="Z326" t="s">
        <v>13</v>
      </c>
      <c r="AA326" t="s">
        <v>14</v>
      </c>
    </row>
    <row r="327" spans="9:66" x14ac:dyDescent="0.3">
      <c r="M327" t="s">
        <v>234</v>
      </c>
      <c r="P327" s="18">
        <f ca="1">IF($I333=1,P334,IF(OR($I333=2,$I333=3,$I333=4),Y334,AR334))</f>
        <v>0.55000000000000004</v>
      </c>
      <c r="Q327" s="18">
        <f ca="1">IF($I333=1,P335,IF(OR($I333=2,$I333=3,$I333=4),Y335,AR335))</f>
        <v>0.57999999999999996</v>
      </c>
      <c r="R327" s="18">
        <f ca="1">IF($I333=1,P336,IF(OR($I333=2,$I333=3,$I333=4),Y336,AR336))</f>
        <v>0.49</v>
      </c>
      <c r="S327" s="18">
        <f ca="1">IF($I333=1,P337,IF(OR($I333=2,$I333=3,$I333=4),Y337,AR337))</f>
        <v>0.36</v>
      </c>
      <c r="T327" s="18">
        <f ca="1">IF($I333=1,P338,IF(OR($I333=2,$I333=3,$I333=4),Y338,AR338))</f>
        <v>0.34</v>
      </c>
      <c r="U327" s="18">
        <f ca="1">IF($I333=1,P339,IF(OR($I333=2,$I333=3,$I333=4),Y339,AR339))</f>
        <v>0.37</v>
      </c>
      <c r="V327" s="18">
        <f ca="1">IF($I333=1,P340,IF(OR($I333=2,$I333=3,$I333=4),Y340,AR340))</f>
        <v>0.41</v>
      </c>
      <c r="W327" s="18">
        <f ca="1">IF($I333=1,P341,IF(OR($I333=2,$I333=3,$I333=4),Y341,AR341))</f>
        <v>0.37</v>
      </c>
      <c r="X327" s="18">
        <f ca="1">IF($I333=1,P342,IF(OR($I333=2,$I333=3,$I333=4),Y342,AR342))</f>
        <v>0.43</v>
      </c>
      <c r="Y327" s="18">
        <f ca="1">IF($I333=1,P343,IF(OR($I333=2,$I333=3,$I333=4),Y343,AR343))</f>
        <v>0.48</v>
      </c>
      <c r="Z327" s="18">
        <f ca="1">IF($I333=1,P344,IF(OR($I333=2,$I333=3,$I333=4),Y344,AR344))</f>
        <v>0.56000000000000005</v>
      </c>
      <c r="AA327" s="18">
        <f ca="1">IF($I333=1,P345,IF(OR($I333=2,$I333=3,$I333=4),Y345,AR345))</f>
        <v>0.6</v>
      </c>
    </row>
    <row r="332" spans="9:66" x14ac:dyDescent="0.3">
      <c r="I332" t="s">
        <v>241</v>
      </c>
      <c r="N332" s="17" t="s">
        <v>245</v>
      </c>
      <c r="P332" s="15"/>
      <c r="Q332" s="15"/>
      <c r="S332" t="s">
        <v>380</v>
      </c>
      <c r="W332" s="17" t="s">
        <v>246</v>
      </c>
      <c r="Y332" s="15"/>
      <c r="Z332" s="15"/>
      <c r="AA332" s="15"/>
      <c r="AB332" s="15"/>
      <c r="AF332">
        <f ca="1">HLOOKUP(S336,Datablad!$H$96:$BQ$97,2,FALSE)</f>
        <v>1</v>
      </c>
      <c r="AG332" t="s">
        <v>249</v>
      </c>
      <c r="AL332" t="s">
        <v>380</v>
      </c>
      <c r="AP332" s="17" t="s">
        <v>247</v>
      </c>
    </row>
    <row r="333" spans="9:66" x14ac:dyDescent="0.3">
      <c r="I333" s="59" t="str">
        <f>'Drop-down'!$BG$5</f>
        <v>nvt</v>
      </c>
      <c r="O333" t="s">
        <v>231</v>
      </c>
      <c r="Q333" s="15"/>
      <c r="X333" t="s">
        <v>232</v>
      </c>
      <c r="AA333" t="s">
        <v>248</v>
      </c>
      <c r="AB333" t="s">
        <v>250</v>
      </c>
      <c r="AF333" t="e">
        <f ca="1">IF(S335=1,VLOOKUP(S334,$AE$70:$AF$72,2,FALSE),VLOOKUP(S334,$AE$73:$AF$75,2,FALSE))</f>
        <v>#N/A</v>
      </c>
      <c r="AG333" t="s">
        <v>251</v>
      </c>
      <c r="AK333" t="s">
        <v>235</v>
      </c>
      <c r="AL333" s="14" t="str">
        <f>I333</f>
        <v>nvt</v>
      </c>
      <c r="AM333" t="s">
        <v>236</v>
      </c>
      <c r="AQ333" t="s">
        <v>233</v>
      </c>
      <c r="AT333" t="s">
        <v>248</v>
      </c>
      <c r="AU333" t="s">
        <v>250</v>
      </c>
      <c r="AW333" t="s">
        <v>270</v>
      </c>
    </row>
    <row r="334" spans="9:66" x14ac:dyDescent="0.3">
      <c r="I334" t="s">
        <v>377</v>
      </c>
      <c r="O334" t="s">
        <v>3</v>
      </c>
      <c r="P334" s="15">
        <v>1</v>
      </c>
      <c r="Q334" s="15"/>
      <c r="S334" s="59" t="str">
        <f>I333</f>
        <v>nvt</v>
      </c>
      <c r="T334" t="s">
        <v>239</v>
      </c>
      <c r="X334" t="s">
        <v>71</v>
      </c>
      <c r="Y334" s="19" t="e" cm="1">
        <f t="array" aca="1" ref="Y334" ca="1">INDEX(Datablad!$H$102:$BQ$113,Rekenblad!AB334,Rekenblad!AA334)</f>
        <v>#N/A</v>
      </c>
      <c r="AA334" t="e">
        <f ca="1">AF332+AF333-1</f>
        <v>#N/A</v>
      </c>
      <c r="AB334">
        <v>1</v>
      </c>
      <c r="AD334" t="s">
        <v>218</v>
      </c>
      <c r="AF334" t="s">
        <v>248</v>
      </c>
      <c r="AG334" t="s">
        <v>252</v>
      </c>
      <c r="AL334" s="14">
        <f ca="1">I337</f>
        <v>0</v>
      </c>
      <c r="AM334" t="s">
        <v>174</v>
      </c>
      <c r="AQ334" t="s">
        <v>71</v>
      </c>
      <c r="AR334" s="19" cm="1">
        <f t="array" aca="1" ref="AR334" ca="1">INDEX(Datablad!$H$123:$DU$134,Rekenblad!AU334,Rekenblad!AT334)</f>
        <v>0.55000000000000004</v>
      </c>
      <c r="AT334">
        <f ca="1">$AX343+$AX341</f>
        <v>7</v>
      </c>
      <c r="AU334">
        <v>1</v>
      </c>
      <c r="AW334" t="s">
        <v>267</v>
      </c>
      <c r="AX334" t="s">
        <v>261</v>
      </c>
      <c r="AY334" s="9" t="s">
        <v>257</v>
      </c>
      <c r="AZ334" s="9" t="s">
        <v>256</v>
      </c>
      <c r="BA334" s="9" t="s">
        <v>255</v>
      </c>
      <c r="BB334" s="9" t="s">
        <v>262</v>
      </c>
      <c r="BC334" s="9" t="s">
        <v>254</v>
      </c>
      <c r="BD334" s="9" t="s">
        <v>253</v>
      </c>
      <c r="BE334" t="s">
        <v>264</v>
      </c>
      <c r="BF334" s="9" t="s">
        <v>263</v>
      </c>
      <c r="BG334" s="9" t="s">
        <v>258</v>
      </c>
      <c r="BH334" s="9" t="s">
        <v>259</v>
      </c>
      <c r="BI334" s="9" t="s">
        <v>265</v>
      </c>
      <c r="BJ334" s="9" t="s">
        <v>260</v>
      </c>
      <c r="BL334" s="9" t="s">
        <v>259</v>
      </c>
      <c r="BM334" s="9" t="s">
        <v>265</v>
      </c>
      <c r="BN334" s="9" t="s">
        <v>260</v>
      </c>
    </row>
    <row r="335" spans="9:66" x14ac:dyDescent="0.3">
      <c r="I335" s="58">
        <f ca="1">IF('Drop-down'!$BJ$5=3,2,1)</f>
        <v>1</v>
      </c>
      <c r="O335" t="s">
        <v>4</v>
      </c>
      <c r="P335" s="15">
        <v>1</v>
      </c>
      <c r="Q335" s="15"/>
      <c r="S335" s="59">
        <f ca="1">I335</f>
        <v>1</v>
      </c>
      <c r="T335" t="s">
        <v>240</v>
      </c>
      <c r="X335" t="s">
        <v>73</v>
      </c>
      <c r="Y335" s="19" t="e" cm="1">
        <f t="array" aca="1" ref="Y335" ca="1">INDEX(Datablad!$H$102:$BQ$113,Rekenblad!AB335,Rekenblad!AA335)</f>
        <v>#N/A</v>
      </c>
      <c r="AA335" t="e">
        <f ca="1">AF332+AF333-1</f>
        <v>#N/A</v>
      </c>
      <c r="AB335">
        <v>2</v>
      </c>
      <c r="AD335">
        <v>1</v>
      </c>
      <c r="AE335" s="15">
        <v>2</v>
      </c>
      <c r="AF335" s="15">
        <v>1</v>
      </c>
      <c r="AM335" t="s">
        <v>237</v>
      </c>
      <c r="AQ335" t="s">
        <v>73</v>
      </c>
      <c r="AR335" s="19" cm="1">
        <f t="array" aca="1" ref="AR335" ca="1">INDEX(Datablad!$H$123:$DU$134,Rekenblad!AU335,Rekenblad!AT335)</f>
        <v>0.57999999999999996</v>
      </c>
      <c r="AT335">
        <f ca="1">$AX343+$AX341</f>
        <v>7</v>
      </c>
      <c r="AU335">
        <v>2</v>
      </c>
      <c r="AW335" t="s">
        <v>248</v>
      </c>
      <c r="AX335">
        <v>0</v>
      </c>
      <c r="AY335">
        <v>1</v>
      </c>
      <c r="AZ335">
        <v>2</v>
      </c>
      <c r="BA335">
        <v>3</v>
      </c>
      <c r="BB335">
        <v>4</v>
      </c>
      <c r="BC335">
        <v>5</v>
      </c>
      <c r="BD335">
        <v>6</v>
      </c>
      <c r="BE335">
        <v>7</v>
      </c>
      <c r="BF335">
        <v>8</v>
      </c>
      <c r="BG335">
        <v>9</v>
      </c>
      <c r="BH335">
        <v>10</v>
      </c>
      <c r="BI335">
        <v>11</v>
      </c>
      <c r="BJ335">
        <v>12</v>
      </c>
      <c r="BL335">
        <v>10</v>
      </c>
      <c r="BM335">
        <v>11</v>
      </c>
      <c r="BN335">
        <v>12</v>
      </c>
    </row>
    <row r="336" spans="9:66" x14ac:dyDescent="0.3">
      <c r="I336" t="s">
        <v>376</v>
      </c>
      <c r="O336" t="s">
        <v>5</v>
      </c>
      <c r="P336" s="15">
        <v>1</v>
      </c>
      <c r="Q336" s="15"/>
      <c r="S336" s="58" t="str">
        <f ca="1">I340</f>
        <v>Z</v>
      </c>
      <c r="T336" t="s">
        <v>379</v>
      </c>
      <c r="X336" t="s">
        <v>74</v>
      </c>
      <c r="Y336" s="19" t="e" cm="1">
        <f t="array" aca="1" ref="Y336" ca="1">INDEX(Datablad!$H$102:$BQ$113,Rekenblad!AB336,Rekenblad!AA336)</f>
        <v>#N/A</v>
      </c>
      <c r="AA336" t="e">
        <f ca="1">AF332+AF333-1</f>
        <v>#N/A</v>
      </c>
      <c r="AB336">
        <v>3</v>
      </c>
      <c r="AD336">
        <v>1</v>
      </c>
      <c r="AE336" s="15">
        <v>3</v>
      </c>
      <c r="AF336" s="15">
        <v>3</v>
      </c>
      <c r="AM336" t="s">
        <v>238</v>
      </c>
      <c r="AQ336" t="s">
        <v>74</v>
      </c>
      <c r="AR336" s="19" cm="1">
        <f t="array" aca="1" ref="AR336" ca="1">INDEX(Datablad!$H$123:$DU$134,Rekenblad!AU336,Rekenblad!AT336)</f>
        <v>0.49</v>
      </c>
      <c r="AT336">
        <f ca="1">$AX343+$AX341</f>
        <v>7</v>
      </c>
      <c r="AU336">
        <v>3</v>
      </c>
      <c r="AW336" t="s">
        <v>266</v>
      </c>
      <c r="AX336">
        <f>AY336+15</f>
        <v>83</v>
      </c>
      <c r="AY336">
        <f>AZ336+15</f>
        <v>68</v>
      </c>
      <c r="AZ336">
        <f>BA336+15</f>
        <v>53</v>
      </c>
      <c r="BA336">
        <f>BB336+15</f>
        <v>38</v>
      </c>
      <c r="BB336">
        <f>BC336+15</f>
        <v>23</v>
      </c>
      <c r="BC336">
        <f>BD336+8</f>
        <v>8</v>
      </c>
      <c r="BD336">
        <v>0</v>
      </c>
      <c r="BE336">
        <f>AX336+15</f>
        <v>98</v>
      </c>
      <c r="BF336">
        <f>BE336+15</f>
        <v>113</v>
      </c>
      <c r="BG336">
        <f>BF336+15</f>
        <v>128</v>
      </c>
      <c r="BH336">
        <f>BG336+15</f>
        <v>143</v>
      </c>
      <c r="BI336">
        <f>BH336+15</f>
        <v>158</v>
      </c>
      <c r="BJ336">
        <f>BI336+15</f>
        <v>173</v>
      </c>
      <c r="BL336">
        <f>BK336+15</f>
        <v>15</v>
      </c>
      <c r="BM336">
        <f>BL336+15</f>
        <v>30</v>
      </c>
      <c r="BN336">
        <f>BM336+15</f>
        <v>45</v>
      </c>
    </row>
    <row r="337" spans="9:66" x14ac:dyDescent="0.3">
      <c r="I337" s="14">
        <f ca="1">IF('Drop-down'!$BA$5="vul in",0,'Drop-down'!$BA$5)</f>
        <v>0</v>
      </c>
      <c r="O337" t="s">
        <v>6</v>
      </c>
      <c r="P337" s="15">
        <v>1</v>
      </c>
      <c r="Q337" s="15"/>
      <c r="X337" t="s">
        <v>75</v>
      </c>
      <c r="Y337" s="19" t="e" cm="1">
        <f t="array" aca="1" ref="Y337" ca="1">INDEX(Datablad!$H$102:$BQ$113,Rekenblad!AB337,Rekenblad!AA337)</f>
        <v>#N/A</v>
      </c>
      <c r="AA337" t="e">
        <f ca="1">AF332+AF333-1</f>
        <v>#N/A</v>
      </c>
      <c r="AB337">
        <v>4</v>
      </c>
      <c r="AD337">
        <v>1</v>
      </c>
      <c r="AE337" s="15">
        <v>4</v>
      </c>
      <c r="AF337" s="15">
        <v>5</v>
      </c>
      <c r="AL337" s="58" t="str">
        <f ca="1">I340</f>
        <v>Z</v>
      </c>
      <c r="AQ337" t="s">
        <v>75</v>
      </c>
      <c r="AR337" s="19" cm="1">
        <f t="array" aca="1" ref="AR337" ca="1">INDEX(Datablad!$H$123:$DU$134,Rekenblad!AU337,Rekenblad!AT337)</f>
        <v>0.36</v>
      </c>
      <c r="AT337">
        <f ca="1">$AX343+$AX341</f>
        <v>7</v>
      </c>
      <c r="AU337">
        <v>4</v>
      </c>
      <c r="AW337" t="s">
        <v>271</v>
      </c>
    </row>
    <row r="338" spans="9:66" x14ac:dyDescent="0.3">
      <c r="I338" t="s">
        <v>378</v>
      </c>
      <c r="O338" t="s">
        <v>7</v>
      </c>
      <c r="P338" s="15">
        <v>1</v>
      </c>
      <c r="Q338" s="15"/>
      <c r="X338" t="s">
        <v>76</v>
      </c>
      <c r="Y338" s="19" t="e" cm="1">
        <f t="array" aca="1" ref="Y338" ca="1">INDEX(Datablad!$H$102:$BQ$113,Rekenblad!AB338,Rekenblad!AA338)</f>
        <v>#N/A</v>
      </c>
      <c r="AA338" t="e">
        <f ca="1">AF332+AF333-1</f>
        <v>#N/A</v>
      </c>
      <c r="AB338">
        <v>5</v>
      </c>
      <c r="AD338">
        <v>2</v>
      </c>
      <c r="AE338" s="15">
        <v>2</v>
      </c>
      <c r="AF338" s="15">
        <v>2</v>
      </c>
      <c r="AQ338" t="s">
        <v>76</v>
      </c>
      <c r="AR338" s="19" cm="1">
        <f t="array" aca="1" ref="AR338" ca="1">INDEX(Datablad!$H$123:$DU$134,Rekenblad!AU338,Rekenblad!AT338)</f>
        <v>0.34</v>
      </c>
      <c r="AT338">
        <f ca="1">$AX343+$AX341</f>
        <v>7</v>
      </c>
      <c r="AU338">
        <v>5</v>
      </c>
      <c r="AW338" t="s">
        <v>248</v>
      </c>
      <c r="AX338">
        <f>BJ335</f>
        <v>12</v>
      </c>
      <c r="AY338">
        <f>BI335</f>
        <v>11</v>
      </c>
      <c r="AZ338">
        <f>BH335</f>
        <v>10</v>
      </c>
      <c r="BA338">
        <f>BG335</f>
        <v>9</v>
      </c>
      <c r="BB338">
        <f>BF335</f>
        <v>8</v>
      </c>
      <c r="BC338">
        <f>BE335</f>
        <v>7</v>
      </c>
      <c r="BD338">
        <f t="shared" ref="BD338:BD339" si="224">AX335</f>
        <v>0</v>
      </c>
      <c r="BE338">
        <f t="shared" ref="BE338:BE339" si="225">AY335</f>
        <v>1</v>
      </c>
      <c r="BF338">
        <f t="shared" ref="BF338:BF339" si="226">AZ335</f>
        <v>2</v>
      </c>
      <c r="BG338">
        <f t="shared" ref="BG338:BG339" si="227">BA335</f>
        <v>3</v>
      </c>
      <c r="BH338">
        <f t="shared" ref="BH338:BH339" si="228">BB335</f>
        <v>4</v>
      </c>
      <c r="BI338">
        <f t="shared" ref="BI338:BI339" si="229">BC335</f>
        <v>5</v>
      </c>
      <c r="BJ338">
        <f t="shared" ref="BJ338:BJ339" si="230">BD335</f>
        <v>6</v>
      </c>
      <c r="BL338">
        <f t="shared" ref="BL338:BL339" si="231">BF335</f>
        <v>8</v>
      </c>
      <c r="BM338">
        <f t="shared" ref="BM338:BM339" si="232">BG335</f>
        <v>9</v>
      </c>
      <c r="BN338">
        <f t="shared" ref="BN338:BN339" si="233">BH335</f>
        <v>10</v>
      </c>
    </row>
    <row r="339" spans="9:66" x14ac:dyDescent="0.3">
      <c r="I339" s="58" t="str">
        <f>M307</f>
        <v>ho</v>
      </c>
      <c r="O339" t="s">
        <v>8</v>
      </c>
      <c r="P339" s="15">
        <v>1</v>
      </c>
      <c r="Q339" s="15"/>
      <c r="X339" t="s">
        <v>77</v>
      </c>
      <c r="Y339" s="19" t="e" cm="1">
        <f t="array" aca="1" ref="Y339" ca="1">INDEX(Datablad!$H$102:$BQ$113,Rekenblad!AB339,Rekenblad!AA339)</f>
        <v>#N/A</v>
      </c>
      <c r="AA339" t="e">
        <f ca="1">AF332+AF333-1</f>
        <v>#N/A</v>
      </c>
      <c r="AB339">
        <v>6</v>
      </c>
      <c r="AD339">
        <v>2</v>
      </c>
      <c r="AE339" s="15">
        <v>3</v>
      </c>
      <c r="AF339" s="15">
        <v>4</v>
      </c>
      <c r="AQ339" t="s">
        <v>77</v>
      </c>
      <c r="AR339" s="19" cm="1">
        <f t="array" aca="1" ref="AR339" ca="1">INDEX(Datablad!$H$123:$DU$134,Rekenblad!AU339,Rekenblad!AT339)</f>
        <v>0.37</v>
      </c>
      <c r="AT339">
        <f ca="1">$AX343+$AX341</f>
        <v>7</v>
      </c>
      <c r="AU339">
        <v>6</v>
      </c>
      <c r="AW339" t="s">
        <v>268</v>
      </c>
      <c r="AX339">
        <f>BJ336</f>
        <v>173</v>
      </c>
      <c r="AY339">
        <f>BI336</f>
        <v>158</v>
      </c>
      <c r="AZ339">
        <f>BH336</f>
        <v>143</v>
      </c>
      <c r="BA339">
        <f>BG336</f>
        <v>128</v>
      </c>
      <c r="BB339">
        <f>BF336</f>
        <v>113</v>
      </c>
      <c r="BC339">
        <f>BE336</f>
        <v>98</v>
      </c>
      <c r="BD339">
        <f t="shared" si="224"/>
        <v>83</v>
      </c>
      <c r="BE339">
        <f t="shared" si="225"/>
        <v>68</v>
      </c>
      <c r="BF339">
        <f t="shared" si="226"/>
        <v>53</v>
      </c>
      <c r="BG339">
        <f t="shared" si="227"/>
        <v>38</v>
      </c>
      <c r="BH339">
        <f t="shared" si="228"/>
        <v>23</v>
      </c>
      <c r="BI339">
        <f t="shared" si="229"/>
        <v>8</v>
      </c>
      <c r="BJ339">
        <f t="shared" si="230"/>
        <v>0</v>
      </c>
      <c r="BL339">
        <f t="shared" si="231"/>
        <v>113</v>
      </c>
      <c r="BM339">
        <f t="shared" si="232"/>
        <v>128</v>
      </c>
      <c r="BN339">
        <f t="shared" si="233"/>
        <v>143</v>
      </c>
    </row>
    <row r="340" spans="9:66" x14ac:dyDescent="0.3">
      <c r="I340" t="str">
        <f ca="1">IF(I337&lt;15,"Z",IF(I339="ho","Z",I339))</f>
        <v>Z</v>
      </c>
      <c r="O340" t="s">
        <v>9</v>
      </c>
      <c r="P340" s="15">
        <v>1</v>
      </c>
      <c r="Q340" s="15"/>
      <c r="X340" t="s">
        <v>78</v>
      </c>
      <c r="Y340" s="19" t="e" cm="1">
        <f t="array" aca="1" ref="Y340" ca="1">INDEX(Datablad!$H$102:$BQ$113,Rekenblad!AB340,Rekenblad!AA340)</f>
        <v>#N/A</v>
      </c>
      <c r="AA340" t="e">
        <f ca="1">AF332+AF333-1</f>
        <v>#N/A</v>
      </c>
      <c r="AB340">
        <v>7</v>
      </c>
      <c r="AD340">
        <v>2</v>
      </c>
      <c r="AE340" s="15">
        <v>4</v>
      </c>
      <c r="AF340" s="15">
        <v>6</v>
      </c>
      <c r="AQ340" t="s">
        <v>78</v>
      </c>
      <c r="AR340" s="19" cm="1">
        <f t="array" aca="1" ref="AR340" ca="1">INDEX(Datablad!$H$123:$DU$134,Rekenblad!AU340,Rekenblad!AT340)</f>
        <v>0.41</v>
      </c>
      <c r="AT340">
        <f ca="1">$AX343+$AX341</f>
        <v>7</v>
      </c>
      <c r="AU340">
        <v>7</v>
      </c>
      <c r="AW340" t="s">
        <v>174</v>
      </c>
      <c r="AX340">
        <f ca="1">AL334</f>
        <v>0</v>
      </c>
    </row>
    <row r="341" spans="9:66" x14ac:dyDescent="0.3">
      <c r="I341" t="s">
        <v>371</v>
      </c>
      <c r="O341" t="s">
        <v>10</v>
      </c>
      <c r="P341" s="15">
        <v>1</v>
      </c>
      <c r="Q341" s="15"/>
      <c r="X341" t="s">
        <v>79</v>
      </c>
      <c r="Y341" s="19" t="e" cm="1">
        <f t="array" aca="1" ref="Y341" ca="1">INDEX(Datablad!$H$102:$BQ$113,Rekenblad!AB341,Rekenblad!AA341)</f>
        <v>#N/A</v>
      </c>
      <c r="AA341" t="e">
        <f ca="1">AF332+AF333-1</f>
        <v>#N/A</v>
      </c>
      <c r="AB341">
        <v>8</v>
      </c>
      <c r="AQ341" t="s">
        <v>79</v>
      </c>
      <c r="AR341" s="19" cm="1">
        <f t="array" aca="1" ref="AR341" ca="1">INDEX(Datablad!$H$123:$DU$134,Rekenblad!AU341,Rekenblad!AT341)</f>
        <v>0.37</v>
      </c>
      <c r="AT341">
        <f ca="1">$AX343+$AX341</f>
        <v>7</v>
      </c>
      <c r="AU341">
        <v>8</v>
      </c>
      <c r="AW341" t="s">
        <v>269</v>
      </c>
      <c r="AX341">
        <f ca="1">IF(AX340&gt;=AX339,AX338,IF(AX340&gt;=AY339,AY338,IF(AX340&gt;=AZ339,AZ338,IF(AX340&gt;=BA339,BA338,IF(AX340&gt;=BB339,BB338,IF(AX340&gt;=BC339,BC338,IF(AX340&gt;=BD339,BD338,IF(AX340&gt;=BE339,BE338,IF(AX340&gt;=BF339,BF338,IF(AX340&gt;=BG339,BG338,IF(AX340&gt;=BH339,BH338,IF(AX340&gt;=BI339,BI338,IF(AX340&gt;=BJ339,BJ338)))))))))))))</f>
        <v>6</v>
      </c>
    </row>
    <row r="342" spans="9:66" x14ac:dyDescent="0.3">
      <c r="O342" t="s">
        <v>11</v>
      </c>
      <c r="P342" s="15">
        <v>1</v>
      </c>
      <c r="Q342" s="15"/>
      <c r="X342" t="s">
        <v>80</v>
      </c>
      <c r="Y342" s="19" t="e" cm="1">
        <f t="array" aca="1" ref="Y342" ca="1">INDEX(Datablad!$H$102:$BQ$113,Rekenblad!AB342,Rekenblad!AA342)</f>
        <v>#N/A</v>
      </c>
      <c r="AA342" t="e">
        <f ca="1">AF332+AF333-1</f>
        <v>#N/A</v>
      </c>
      <c r="AB342">
        <v>9</v>
      </c>
      <c r="AQ342" t="s">
        <v>80</v>
      </c>
      <c r="AR342" s="19" cm="1">
        <f t="array" aca="1" ref="AR342" ca="1">INDEX(Datablad!$H$123:$DU$134,Rekenblad!AU342,Rekenblad!AT342)</f>
        <v>0.43</v>
      </c>
      <c r="AT342">
        <f ca="1">$AX343+$AX341</f>
        <v>7</v>
      </c>
      <c r="AU342">
        <v>9</v>
      </c>
    </row>
    <row r="343" spans="9:66" x14ac:dyDescent="0.3">
      <c r="O343" t="s">
        <v>12</v>
      </c>
      <c r="P343" s="15">
        <v>1</v>
      </c>
      <c r="Q343" s="15"/>
      <c r="X343" t="s">
        <v>81</v>
      </c>
      <c r="Y343" s="19" t="e" cm="1">
        <f t="array" aca="1" ref="Y343" ca="1">INDEX(Datablad!$H$102:$BQ$113,Rekenblad!AB343,Rekenblad!AA343)</f>
        <v>#N/A</v>
      </c>
      <c r="AA343" t="e">
        <f ca="1">AF332+AF333-1</f>
        <v>#N/A</v>
      </c>
      <c r="AB343">
        <v>10</v>
      </c>
      <c r="AQ343" t="s">
        <v>81</v>
      </c>
      <c r="AR343" s="19" cm="1">
        <f t="array" aca="1" ref="AR343" ca="1">INDEX(Datablad!$H$123:$DU$134,Rekenblad!AU343,Rekenblad!AT343)</f>
        <v>0.48</v>
      </c>
      <c r="AT343">
        <f ca="1">$AX343+$AX341</f>
        <v>7</v>
      </c>
      <c r="AU343">
        <v>10</v>
      </c>
      <c r="AX343">
        <f ca="1">HLOOKUP(AL337,Datablad!$H$115:$DU$116,2,FALSE)</f>
        <v>1</v>
      </c>
      <c r="AY343" t="s">
        <v>272</v>
      </c>
    </row>
    <row r="344" spans="9:66" x14ac:dyDescent="0.3">
      <c r="O344" t="s">
        <v>13</v>
      </c>
      <c r="P344" s="15">
        <v>1</v>
      </c>
      <c r="Q344" s="15"/>
      <c r="X344" t="s">
        <v>82</v>
      </c>
      <c r="Y344" s="19" t="e" cm="1">
        <f t="array" aca="1" ref="Y344" ca="1">INDEX(Datablad!$H$102:$BQ$113,Rekenblad!AB344,Rekenblad!AA344)</f>
        <v>#N/A</v>
      </c>
      <c r="AA344" t="e">
        <f ca="1">AF332+AF333-1</f>
        <v>#N/A</v>
      </c>
      <c r="AB344">
        <v>11</v>
      </c>
      <c r="AQ344" t="s">
        <v>82</v>
      </c>
      <c r="AR344" s="19" cm="1">
        <f t="array" aca="1" ref="AR344" ca="1">INDEX(Datablad!$H$123:$DU$134,Rekenblad!AU344,Rekenblad!AT344)</f>
        <v>0.56000000000000005</v>
      </c>
      <c r="AT344">
        <f ca="1">$AX343+$AX341</f>
        <v>7</v>
      </c>
      <c r="AU344">
        <v>11</v>
      </c>
      <c r="AY344" t="s">
        <v>273</v>
      </c>
    </row>
    <row r="345" spans="9:66" x14ac:dyDescent="0.3">
      <c r="O345" t="s">
        <v>14</v>
      </c>
      <c r="P345" s="15">
        <v>1</v>
      </c>
      <c r="Q345" s="15"/>
      <c r="X345" t="s">
        <v>83</v>
      </c>
      <c r="Y345" s="19" t="e" cm="1">
        <f t="array" aca="1" ref="Y345" ca="1">INDEX(Datablad!$H$102:$BQ$113,Rekenblad!AB345,Rekenblad!AA345)</f>
        <v>#N/A</v>
      </c>
      <c r="AA345" t="e">
        <f ca="1">AF332+AF333-1</f>
        <v>#N/A</v>
      </c>
      <c r="AB345">
        <v>12</v>
      </c>
      <c r="AQ345" t="s">
        <v>83</v>
      </c>
      <c r="AR345" s="19" cm="1">
        <f t="array" aca="1" ref="AR345" ca="1">INDEX(Datablad!$H$123:$DU$134,Rekenblad!AU345,Rekenblad!AT345)</f>
        <v>0.6</v>
      </c>
      <c r="AT345">
        <f ca="1">$AX343+$AX341</f>
        <v>7</v>
      </c>
      <c r="AU345">
        <v>12</v>
      </c>
      <c r="AY345" s="15"/>
    </row>
    <row r="346" spans="9:66" x14ac:dyDescent="0.3">
      <c r="T346" s="15"/>
      <c r="U346" s="15"/>
      <c r="V346" s="15"/>
      <c r="W346" s="15"/>
      <c r="X346" s="15"/>
      <c r="Y346" s="15"/>
      <c r="Z346" s="15"/>
      <c r="AA346" s="15"/>
      <c r="AB346" s="15"/>
    </row>
    <row r="348" spans="9:66" x14ac:dyDescent="0.3">
      <c r="I348" s="1" t="s">
        <v>242</v>
      </c>
      <c r="M348" t="str">
        <f t="shared" ref="M348" si="234">P326</f>
        <v>januari</v>
      </c>
      <c r="N348" t="str">
        <f t="shared" ref="N348:N349" si="235">Q326</f>
        <v>februari</v>
      </c>
      <c r="O348" t="str">
        <f t="shared" ref="O348:O349" si="236">R326</f>
        <v>maart</v>
      </c>
      <c r="P348" t="str">
        <f t="shared" ref="P348:P349" si="237">S326</f>
        <v>april</v>
      </c>
      <c r="Q348" t="str">
        <f t="shared" ref="Q348:Q349" si="238">T326</f>
        <v>mei</v>
      </c>
      <c r="R348" t="str">
        <f t="shared" ref="R348:R349" si="239">U326</f>
        <v>juni</v>
      </c>
      <c r="S348" t="str">
        <f t="shared" ref="S348:S349" si="240">V326</f>
        <v>juli</v>
      </c>
      <c r="T348" t="str">
        <f t="shared" ref="T348:T349" si="241">W326</f>
        <v>augustus</v>
      </c>
      <c r="U348" t="str">
        <f t="shared" ref="U348:U349" si="242">X326</f>
        <v>september</v>
      </c>
      <c r="V348" t="str">
        <f t="shared" ref="V348:V349" si="243">Y326</f>
        <v>oktober</v>
      </c>
      <c r="W348" t="str">
        <f t="shared" ref="W348:W349" si="244">Z326</f>
        <v>november</v>
      </c>
      <c r="X348" t="str">
        <f t="shared" ref="X348:X349" si="245">AA326</f>
        <v>december</v>
      </c>
    </row>
    <row r="349" spans="9:66" x14ac:dyDescent="0.3">
      <c r="I349" s="1"/>
      <c r="L349" t="s">
        <v>114</v>
      </c>
      <c r="M349">
        <f ca="1">P327</f>
        <v>0.55000000000000004</v>
      </c>
      <c r="N349">
        <f t="shared" ca="1" si="235"/>
        <v>0.57999999999999996</v>
      </c>
      <c r="O349">
        <f t="shared" ca="1" si="236"/>
        <v>0.49</v>
      </c>
      <c r="P349">
        <f t="shared" ca="1" si="237"/>
        <v>0.36</v>
      </c>
      <c r="Q349">
        <f t="shared" ca="1" si="238"/>
        <v>0.34</v>
      </c>
      <c r="R349">
        <f t="shared" ca="1" si="239"/>
        <v>0.37</v>
      </c>
      <c r="S349">
        <f t="shared" ca="1" si="240"/>
        <v>0.41</v>
      </c>
      <c r="T349">
        <f t="shared" ca="1" si="241"/>
        <v>0.37</v>
      </c>
      <c r="U349">
        <f t="shared" ca="1" si="242"/>
        <v>0.43</v>
      </c>
      <c r="V349">
        <f t="shared" ca="1" si="243"/>
        <v>0.48</v>
      </c>
      <c r="W349">
        <f t="shared" ca="1" si="244"/>
        <v>0.56000000000000005</v>
      </c>
      <c r="X349">
        <f t="shared" ca="1" si="245"/>
        <v>0.6</v>
      </c>
    </row>
    <row r="350" spans="9:66" x14ac:dyDescent="0.3">
      <c r="I350" s="1" t="s">
        <v>244</v>
      </c>
    </row>
    <row r="351" spans="9:66" x14ac:dyDescent="0.3">
      <c r="I351" s="4" t="s">
        <v>114</v>
      </c>
      <c r="J351" s="4" t="s">
        <v>243</v>
      </c>
      <c r="L351" t="s">
        <v>109</v>
      </c>
      <c r="M351" s="18">
        <f ca="1">IF(M349&lt;=0.8,$J$107,(VLOOKUP(M349,$I$87:$J$107,2,FALSE)))</f>
        <v>0.75</v>
      </c>
      <c r="N351" s="18">
        <f t="shared" ref="N351:X351" ca="1" si="246">IF(N349&lt;=0.8,$J$107,(VLOOKUP(N349,$I$87:$J$107,2,FALSE)))</f>
        <v>0.75</v>
      </c>
      <c r="O351" s="18">
        <f t="shared" ca="1" si="246"/>
        <v>0.75</v>
      </c>
      <c r="P351" s="18">
        <f t="shared" ca="1" si="246"/>
        <v>0.75</v>
      </c>
      <c r="Q351" s="18">
        <f t="shared" ca="1" si="246"/>
        <v>0.75</v>
      </c>
      <c r="R351" s="18">
        <f t="shared" ca="1" si="246"/>
        <v>0.75</v>
      </c>
      <c r="S351" s="18">
        <f t="shared" ca="1" si="246"/>
        <v>0.75</v>
      </c>
      <c r="T351" s="18">
        <f t="shared" ca="1" si="246"/>
        <v>0.75</v>
      </c>
      <c r="U351" s="18">
        <f t="shared" ca="1" si="246"/>
        <v>0.75</v>
      </c>
      <c r="V351" s="18">
        <f t="shared" ca="1" si="246"/>
        <v>0.75</v>
      </c>
      <c r="W351" s="18">
        <f t="shared" ca="1" si="246"/>
        <v>0.75</v>
      </c>
      <c r="X351" s="18">
        <f t="shared" ca="1" si="246"/>
        <v>0.75</v>
      </c>
    </row>
    <row r="352" spans="9:66" x14ac:dyDescent="0.3">
      <c r="I352" s="4">
        <v>1</v>
      </c>
      <c r="J352" s="4">
        <v>1</v>
      </c>
    </row>
    <row r="353" spans="6:10" x14ac:dyDescent="0.3">
      <c r="I353" s="4">
        <v>0.99</v>
      </c>
      <c r="J353" s="4">
        <v>0.99</v>
      </c>
    </row>
    <row r="354" spans="6:10" x14ac:dyDescent="0.3">
      <c r="I354" s="4">
        <v>0.98</v>
      </c>
      <c r="J354" s="4">
        <v>0.98</v>
      </c>
    </row>
    <row r="355" spans="6:10" x14ac:dyDescent="0.3">
      <c r="I355" s="4">
        <v>0.97</v>
      </c>
      <c r="J355" s="4">
        <v>0.97</v>
      </c>
    </row>
    <row r="356" spans="6:10" x14ac:dyDescent="0.3">
      <c r="I356" s="4">
        <v>0.96</v>
      </c>
      <c r="J356" s="4">
        <v>0.96</v>
      </c>
    </row>
    <row r="357" spans="6:10" x14ac:dyDescent="0.3">
      <c r="I357" s="4">
        <v>0.95</v>
      </c>
      <c r="J357" s="4">
        <v>0.95</v>
      </c>
    </row>
    <row r="358" spans="6:10" x14ac:dyDescent="0.3">
      <c r="I358" s="4">
        <v>0.94</v>
      </c>
      <c r="J358" s="4">
        <f>0.89+4/5*0.06</f>
        <v>0.93800000000000006</v>
      </c>
    </row>
    <row r="359" spans="6:10" x14ac:dyDescent="0.3">
      <c r="I359" s="4">
        <v>0.93</v>
      </c>
      <c r="J359" s="4">
        <f>0.89+3/5*0.06</f>
        <v>0.92600000000000005</v>
      </c>
    </row>
    <row r="360" spans="6:10" x14ac:dyDescent="0.3">
      <c r="F360" s="15"/>
      <c r="G360" s="15"/>
      <c r="I360" s="4">
        <v>0.92</v>
      </c>
      <c r="J360" s="4">
        <f>0.89+2/5*0.06</f>
        <v>0.91400000000000003</v>
      </c>
    </row>
    <row r="361" spans="6:10" x14ac:dyDescent="0.3">
      <c r="I361" s="4">
        <v>0.91</v>
      </c>
      <c r="J361" s="4">
        <f>0.89+1/5*0.06</f>
        <v>0.90200000000000002</v>
      </c>
    </row>
    <row r="362" spans="6:10" x14ac:dyDescent="0.3">
      <c r="I362" s="4">
        <v>0.9</v>
      </c>
      <c r="J362" s="4">
        <v>0.89</v>
      </c>
    </row>
    <row r="363" spans="6:10" x14ac:dyDescent="0.3">
      <c r="I363" s="4">
        <v>0.89</v>
      </c>
      <c r="J363" s="4">
        <f>0.82+4/5*0.07</f>
        <v>0.876</v>
      </c>
    </row>
    <row r="364" spans="6:10" x14ac:dyDescent="0.3">
      <c r="I364" s="4">
        <v>0.88</v>
      </c>
      <c r="J364" s="4">
        <f>0.82+3/5*0.07</f>
        <v>0.86199999999999999</v>
      </c>
    </row>
    <row r="365" spans="6:10" x14ac:dyDescent="0.3">
      <c r="I365" s="4">
        <v>0.87</v>
      </c>
      <c r="J365" s="4">
        <f>0.82+2/5*0.07</f>
        <v>0.84799999999999998</v>
      </c>
    </row>
    <row r="366" spans="6:10" x14ac:dyDescent="0.3">
      <c r="I366" s="4">
        <v>0.86</v>
      </c>
      <c r="J366" s="4">
        <f>0.82+1/5*0.07</f>
        <v>0.83399999999999996</v>
      </c>
    </row>
    <row r="367" spans="6:10" x14ac:dyDescent="0.3">
      <c r="I367" s="4">
        <v>0.85</v>
      </c>
      <c r="J367" s="4">
        <v>0.82</v>
      </c>
    </row>
    <row r="368" spans="6:10" x14ac:dyDescent="0.3">
      <c r="I368" s="4">
        <v>0.84</v>
      </c>
      <c r="J368" s="4">
        <f>0.75+4/5*0.07</f>
        <v>0.80600000000000005</v>
      </c>
    </row>
    <row r="369" spans="2:64" x14ac:dyDescent="0.3">
      <c r="I369" s="4">
        <v>0.83</v>
      </c>
      <c r="J369" s="4">
        <f>0.75+3/5*0.07</f>
        <v>0.79200000000000004</v>
      </c>
    </row>
    <row r="370" spans="2:64" x14ac:dyDescent="0.3">
      <c r="I370" s="4">
        <v>0.82</v>
      </c>
      <c r="J370" s="4">
        <f>0.75+2/5*0.07</f>
        <v>0.77800000000000002</v>
      </c>
    </row>
    <row r="371" spans="2:64" x14ac:dyDescent="0.3">
      <c r="I371" s="4">
        <v>0.81</v>
      </c>
      <c r="J371" s="4">
        <f>0.75+1/5*0.07</f>
        <v>0.76400000000000001</v>
      </c>
    </row>
    <row r="372" spans="2:64" x14ac:dyDescent="0.3">
      <c r="I372" s="4">
        <v>0.8</v>
      </c>
      <c r="J372" s="4">
        <v>0.75</v>
      </c>
    </row>
    <row r="375" spans="2:64" x14ac:dyDescent="0.3">
      <c r="B375" s="29" t="s">
        <v>103</v>
      </c>
      <c r="D375" s="1" t="s">
        <v>2</v>
      </c>
      <c r="E375" s="1" t="s">
        <v>3</v>
      </c>
      <c r="F375" s="1" t="s">
        <v>4</v>
      </c>
      <c r="G375" s="1" t="s">
        <v>5</v>
      </c>
      <c r="H375" s="1" t="s">
        <v>6</v>
      </c>
      <c r="I375" s="1" t="s">
        <v>7</v>
      </c>
      <c r="J375" s="1" t="s">
        <v>8</v>
      </c>
      <c r="K375" s="1" t="s">
        <v>9</v>
      </c>
      <c r="L375" s="1" t="s">
        <v>10</v>
      </c>
      <c r="M375" s="1" t="s">
        <v>11</v>
      </c>
      <c r="N375" s="1" t="s">
        <v>12</v>
      </c>
      <c r="O375" s="1" t="s">
        <v>13</v>
      </c>
      <c r="P375" s="1" t="s">
        <v>14</v>
      </c>
      <c r="BL375" t="s">
        <v>60</v>
      </c>
    </row>
    <row r="376" spans="2:64" x14ac:dyDescent="0.3">
      <c r="C376" t="s">
        <v>98</v>
      </c>
      <c r="D376">
        <f ca="1">SUM(E376:P376)</f>
        <v>0</v>
      </c>
      <c r="E376">
        <f ca="1">(E377*E378*E382*E384*E385)/E386</f>
        <v>0</v>
      </c>
      <c r="F376">
        <f t="shared" ref="F376:P376" ca="1" si="247">(F377*F378*F382*F384*F385)/F386</f>
        <v>0</v>
      </c>
      <c r="G376">
        <f t="shared" ca="1" si="247"/>
        <v>0</v>
      </c>
      <c r="H376">
        <f t="shared" ca="1" si="247"/>
        <v>0</v>
      </c>
      <c r="I376">
        <f t="shared" ca="1" si="247"/>
        <v>0</v>
      </c>
      <c r="J376">
        <f t="shared" ca="1" si="247"/>
        <v>0</v>
      </c>
      <c r="K376">
        <f t="shared" ca="1" si="247"/>
        <v>0</v>
      </c>
      <c r="L376">
        <f t="shared" ca="1" si="247"/>
        <v>0</v>
      </c>
      <c r="M376">
        <f t="shared" ca="1" si="247"/>
        <v>0</v>
      </c>
      <c r="N376">
        <f t="shared" ca="1" si="247"/>
        <v>0</v>
      </c>
      <c r="O376">
        <f t="shared" ca="1" si="247"/>
        <v>0</v>
      </c>
      <c r="P376">
        <f t="shared" ca="1" si="247"/>
        <v>0</v>
      </c>
      <c r="Q376" t="s">
        <v>278</v>
      </c>
    </row>
    <row r="377" spans="2:64" x14ac:dyDescent="0.3">
      <c r="C377" t="s">
        <v>106</v>
      </c>
      <c r="E377">
        <f ca="1">E387*E388*E389/1000</f>
        <v>11.457600000000001</v>
      </c>
      <c r="F377">
        <f t="shared" ref="F377:P377" ca="1" si="248">F387*F388*F389/1000</f>
        <v>19.215167999999998</v>
      </c>
      <c r="G377">
        <f t="shared" ca="1" si="248"/>
        <v>35.216495999999999</v>
      </c>
      <c r="H377">
        <f t="shared" ca="1" si="248"/>
        <v>41.601599999999998</v>
      </c>
      <c r="I377">
        <f t="shared" ca="1" si="248"/>
        <v>49.833120000000001</v>
      </c>
      <c r="J377">
        <f t="shared" ca="1" si="248"/>
        <v>55.75752</v>
      </c>
      <c r="K377">
        <f t="shared" ca="1" si="248"/>
        <v>58.262639999999998</v>
      </c>
      <c r="L377">
        <f t="shared" ca="1" si="248"/>
        <v>48.779615999999997</v>
      </c>
      <c r="M377">
        <f t="shared" ca="1" si="248"/>
        <v>38.359439999999999</v>
      </c>
      <c r="N377">
        <f t="shared" ca="1" si="248"/>
        <v>26.141184000000003</v>
      </c>
      <c r="O377">
        <f t="shared" ca="1" si="248"/>
        <v>13.829759999999998</v>
      </c>
      <c r="P377">
        <f t="shared" ca="1" si="248"/>
        <v>9.3743999999999996</v>
      </c>
      <c r="Q377" t="s">
        <v>277</v>
      </c>
    </row>
    <row r="378" spans="2:64" x14ac:dyDescent="0.3">
      <c r="C378" t="s">
        <v>107</v>
      </c>
      <c r="D378" s="60">
        <f>IF(OR('Drop-down'!$AU$6="nvt",'Drop-down'!$AU$6="nog te berekenen"),0,'Drop-down'!$AU$6/1000)</f>
        <v>0</v>
      </c>
      <c r="E378" s="28">
        <f>$D378</f>
        <v>0</v>
      </c>
      <c r="F378" s="28">
        <f t="shared" ref="F378:P378" si="249">$D378</f>
        <v>0</v>
      </c>
      <c r="G378" s="28">
        <f t="shared" si="249"/>
        <v>0</v>
      </c>
      <c r="H378" s="28">
        <f>$D378</f>
        <v>0</v>
      </c>
      <c r="I378" s="28">
        <f t="shared" si="249"/>
        <v>0</v>
      </c>
      <c r="J378" s="28">
        <f t="shared" si="249"/>
        <v>0</v>
      </c>
      <c r="K378" s="28">
        <f t="shared" si="249"/>
        <v>0</v>
      </c>
      <c r="L378" s="28">
        <f t="shared" si="249"/>
        <v>0</v>
      </c>
      <c r="M378" s="28">
        <f t="shared" si="249"/>
        <v>0</v>
      </c>
      <c r="N378" s="28">
        <f t="shared" si="249"/>
        <v>0</v>
      </c>
      <c r="O378" s="28">
        <f t="shared" si="249"/>
        <v>0</v>
      </c>
      <c r="P378" s="28">
        <f t="shared" si="249"/>
        <v>0</v>
      </c>
      <c r="Q378" t="s">
        <v>337</v>
      </c>
      <c r="BL378" t="s">
        <v>59</v>
      </c>
    </row>
    <row r="379" spans="2:64" x14ac:dyDescent="0.3">
      <c r="C379" s="27" t="s">
        <v>116</v>
      </c>
      <c r="Q379" t="s">
        <v>276</v>
      </c>
    </row>
    <row r="380" spans="2:64" x14ac:dyDescent="0.3">
      <c r="C380" s="27" t="s">
        <v>117</v>
      </c>
      <c r="Q380" t="s">
        <v>18</v>
      </c>
      <c r="BL380" t="s">
        <v>61</v>
      </c>
    </row>
    <row r="381" spans="2:64" x14ac:dyDescent="0.3">
      <c r="C381" s="27" t="s">
        <v>115</v>
      </c>
      <c r="Q381" t="s">
        <v>275</v>
      </c>
    </row>
    <row r="382" spans="2:64" x14ac:dyDescent="0.3">
      <c r="C382" t="s">
        <v>108</v>
      </c>
      <c r="D382" s="14" cm="1">
        <f t="array" ref="D382">IF('Drop-down'!$BD$6=0,0,IF('Drop-down'!$BD$6="nvt",0,INDEX(Datablad!$C$26:$E$29,'Drop-down'!$BD$6,3)))</f>
        <v>0</v>
      </c>
      <c r="E382">
        <f>$D382</f>
        <v>0</v>
      </c>
      <c r="F382">
        <f t="shared" ref="F382:O382" si="250">$D382</f>
        <v>0</v>
      </c>
      <c r="G382">
        <f t="shared" si="250"/>
        <v>0</v>
      </c>
      <c r="H382">
        <f>$D382</f>
        <v>0</v>
      </c>
      <c r="I382">
        <f t="shared" si="250"/>
        <v>0</v>
      </c>
      <c r="J382">
        <f t="shared" si="250"/>
        <v>0</v>
      </c>
      <c r="K382">
        <f t="shared" si="250"/>
        <v>0</v>
      </c>
      <c r="L382">
        <f t="shared" si="250"/>
        <v>0</v>
      </c>
      <c r="M382">
        <f t="shared" si="250"/>
        <v>0</v>
      </c>
      <c r="N382">
        <f t="shared" si="250"/>
        <v>0</v>
      </c>
      <c r="O382">
        <f t="shared" si="250"/>
        <v>0</v>
      </c>
      <c r="P382">
        <f>$D382</f>
        <v>0</v>
      </c>
      <c r="Q382" t="s">
        <v>112</v>
      </c>
      <c r="BL382" t="s">
        <v>62</v>
      </c>
    </row>
    <row r="383" spans="2:64" x14ac:dyDescent="0.3">
      <c r="C383" t="s">
        <v>118</v>
      </c>
      <c r="D383" s="14" t="str">
        <f>'Drop-down'!$BD$6</f>
        <v>nvt</v>
      </c>
      <c r="Q383" t="s">
        <v>274</v>
      </c>
    </row>
    <row r="384" spans="2:64" x14ac:dyDescent="0.3">
      <c r="C384" t="s">
        <v>109</v>
      </c>
      <c r="E384">
        <f ca="1">M440</f>
        <v>0.75</v>
      </c>
      <c r="F384">
        <f ca="1">N440</f>
        <v>0.75</v>
      </c>
      <c r="G384">
        <f t="shared" ref="G384" ca="1" si="251">O440</f>
        <v>0.75</v>
      </c>
      <c r="H384">
        <f t="shared" ref="H384" ca="1" si="252">P440</f>
        <v>0.75</v>
      </c>
      <c r="I384">
        <f t="shared" ref="I384" ca="1" si="253">Q440</f>
        <v>0.75</v>
      </c>
      <c r="J384">
        <f t="shared" ref="J384" ca="1" si="254">R440</f>
        <v>0.75</v>
      </c>
      <c r="K384">
        <f t="shared" ref="K384" ca="1" si="255">S440</f>
        <v>0.75</v>
      </c>
      <c r="L384">
        <f t="shared" ref="L384" ca="1" si="256">T440</f>
        <v>0.75</v>
      </c>
      <c r="M384">
        <f t="shared" ref="M384" ca="1" si="257">U440</f>
        <v>0.75</v>
      </c>
      <c r="N384">
        <f t="shared" ref="N384" ca="1" si="258">V440</f>
        <v>0.75</v>
      </c>
      <c r="O384">
        <f t="shared" ref="O384" ca="1" si="259">W440</f>
        <v>0.75</v>
      </c>
      <c r="P384">
        <f t="shared" ref="P384" ca="1" si="260">X440</f>
        <v>0.75</v>
      </c>
      <c r="Q384" t="s">
        <v>194</v>
      </c>
      <c r="BL384" t="s">
        <v>57</v>
      </c>
    </row>
    <row r="385" spans="3:64" x14ac:dyDescent="0.3">
      <c r="C385" t="s">
        <v>110</v>
      </c>
      <c r="E385">
        <f>Datablad!$E$47</f>
        <v>0.95</v>
      </c>
      <c r="F385">
        <f>Datablad!$E$47</f>
        <v>0.95</v>
      </c>
      <c r="G385">
        <f>Datablad!$E$47</f>
        <v>0.95</v>
      </c>
      <c r="H385">
        <f>Datablad!$E$47</f>
        <v>0.95</v>
      </c>
      <c r="I385">
        <f>Datablad!$E$47</f>
        <v>0.95</v>
      </c>
      <c r="J385">
        <f>Datablad!$E$47</f>
        <v>0.95</v>
      </c>
      <c r="K385">
        <f>Datablad!$E$47</f>
        <v>0.95</v>
      </c>
      <c r="L385">
        <f>Datablad!$E$47</f>
        <v>0.95</v>
      </c>
      <c r="M385">
        <f>Datablad!$E$47</f>
        <v>0.95</v>
      </c>
      <c r="N385">
        <f>Datablad!$E$47</f>
        <v>0.95</v>
      </c>
      <c r="O385">
        <f>Datablad!$E$47</f>
        <v>0.95</v>
      </c>
      <c r="P385">
        <f>Datablad!$E$47</f>
        <v>0.95</v>
      </c>
      <c r="Q385" t="s">
        <v>304</v>
      </c>
    </row>
    <row r="386" spans="3:64" x14ac:dyDescent="0.3">
      <c r="C386" t="s">
        <v>111</v>
      </c>
      <c r="E386">
        <f>Datablad!$E$33</f>
        <v>1</v>
      </c>
      <c r="F386">
        <f>Datablad!$E$33</f>
        <v>1</v>
      </c>
      <c r="G386">
        <f>Datablad!$E$33</f>
        <v>1</v>
      </c>
      <c r="H386">
        <f>Datablad!$E$33</f>
        <v>1</v>
      </c>
      <c r="I386">
        <f>Datablad!$E$33</f>
        <v>1</v>
      </c>
      <c r="J386">
        <f>Datablad!$E$33</f>
        <v>1</v>
      </c>
      <c r="K386">
        <f>Datablad!$E$33</f>
        <v>1</v>
      </c>
      <c r="L386">
        <f>Datablad!$E$33</f>
        <v>1</v>
      </c>
      <c r="M386">
        <f>Datablad!$E$33</f>
        <v>1</v>
      </c>
      <c r="N386">
        <f>Datablad!$E$33</f>
        <v>1</v>
      </c>
      <c r="O386">
        <f>Datablad!$E$33</f>
        <v>1</v>
      </c>
      <c r="P386">
        <f>Datablad!$E$33</f>
        <v>1</v>
      </c>
      <c r="Q386" t="s">
        <v>193</v>
      </c>
    </row>
    <row r="387" spans="3:64" x14ac:dyDescent="0.3">
      <c r="C387" t="s">
        <v>113</v>
      </c>
      <c r="E387">
        <f ca="1">AW389</f>
        <v>28</v>
      </c>
      <c r="F387">
        <f t="shared" ref="F387" ca="1" si="261">AX389</f>
        <v>49.3</v>
      </c>
      <c r="G387">
        <f t="shared" ref="G387" ca="1" si="262">AY389</f>
        <v>96.6</v>
      </c>
      <c r="H387">
        <f t="shared" ref="H387" ca="1" si="263">AZ389</f>
        <v>160.5</v>
      </c>
      <c r="I387">
        <f t="shared" ref="I387" ca="1" si="264">BA389</f>
        <v>197</v>
      </c>
      <c r="J387">
        <f t="shared" ref="J387" ca="1" si="265">BB389</f>
        <v>209.3</v>
      </c>
      <c r="K387">
        <f t="shared" ref="K387" ca="1" si="266">BC389</f>
        <v>191</v>
      </c>
      <c r="L387">
        <f t="shared" ref="L387" ca="1" si="267">BD389</f>
        <v>177.2</v>
      </c>
      <c r="M387">
        <f t="shared" ref="M387" ca="1" si="268">BE389</f>
        <v>123.9</v>
      </c>
      <c r="N387">
        <f t="shared" ref="N387" ca="1" si="269">BF389</f>
        <v>73.2</v>
      </c>
      <c r="O387">
        <f t="shared" ref="O387" ca="1" si="270">BG389</f>
        <v>34.299999999999997</v>
      </c>
      <c r="P387">
        <f t="shared" ref="P387" ca="1" si="271">BH389</f>
        <v>21</v>
      </c>
      <c r="Q387" t="s">
        <v>139</v>
      </c>
    </row>
    <row r="388" spans="3:64" x14ac:dyDescent="0.3">
      <c r="C388" t="s">
        <v>84</v>
      </c>
      <c r="D388">
        <f>Datablad!$E$65</f>
        <v>8760</v>
      </c>
      <c r="E388">
        <f>Datablad!$E$53</f>
        <v>744</v>
      </c>
      <c r="F388">
        <f>Datablad!$E$54</f>
        <v>672</v>
      </c>
      <c r="G388">
        <f>Datablad!$E$55</f>
        <v>744</v>
      </c>
      <c r="H388">
        <f>Datablad!$E$56</f>
        <v>720</v>
      </c>
      <c r="I388">
        <f>Datablad!$E$57</f>
        <v>744</v>
      </c>
      <c r="J388">
        <f>Datablad!$E$58</f>
        <v>720</v>
      </c>
      <c r="K388">
        <f>Datablad!$E$59</f>
        <v>744</v>
      </c>
      <c r="L388">
        <f>Datablad!$E$60</f>
        <v>744</v>
      </c>
      <c r="M388">
        <f>Datablad!$E$61</f>
        <v>720</v>
      </c>
      <c r="N388">
        <f>Datablad!$E$62</f>
        <v>744</v>
      </c>
      <c r="O388">
        <f>Datablad!$E$63</f>
        <v>720</v>
      </c>
      <c r="P388">
        <f>Datablad!$E$64</f>
        <v>744</v>
      </c>
      <c r="Q388" t="s">
        <v>192</v>
      </c>
    </row>
    <row r="389" spans="3:64" x14ac:dyDescent="0.3">
      <c r="C389" t="s">
        <v>114</v>
      </c>
      <c r="E389">
        <f ca="1">P416</f>
        <v>0.55000000000000004</v>
      </c>
      <c r="F389">
        <f t="shared" ref="F389" ca="1" si="272">Q416</f>
        <v>0.57999999999999996</v>
      </c>
      <c r="G389">
        <f t="shared" ref="G389" ca="1" si="273">R416</f>
        <v>0.49</v>
      </c>
      <c r="H389">
        <f t="shared" ref="H389" ca="1" si="274">S416</f>
        <v>0.36</v>
      </c>
      <c r="I389">
        <f t="shared" ref="I389" ca="1" si="275">T416</f>
        <v>0.34</v>
      </c>
      <c r="J389">
        <f t="shared" ref="J389" ca="1" si="276">U416</f>
        <v>0.37</v>
      </c>
      <c r="K389">
        <f t="shared" ref="K389" ca="1" si="277">V416</f>
        <v>0.41</v>
      </c>
      <c r="L389">
        <f t="shared" ref="L389" ca="1" si="278">W416</f>
        <v>0.37</v>
      </c>
      <c r="M389">
        <f t="shared" ref="M389" ca="1" si="279">X416</f>
        <v>0.43</v>
      </c>
      <c r="N389">
        <f t="shared" ref="N389" ca="1" si="280">Y416</f>
        <v>0.48</v>
      </c>
      <c r="O389">
        <f t="shared" ref="O389" ca="1" si="281">Z416</f>
        <v>0.56000000000000005</v>
      </c>
      <c r="P389">
        <f t="shared" ref="P389" ca="1" si="282">AA416</f>
        <v>0.6</v>
      </c>
      <c r="Q389" t="s">
        <v>195</v>
      </c>
      <c r="AU389" t="s">
        <v>191</v>
      </c>
      <c r="AV389">
        <f ca="1">IF(N394&lt;30,1,IF(N394&lt;45,2,IF(N394&lt;60,3,IF(N394&lt;90,4,IF(N394&lt;135,5,IF(N394=180,7,6))))))</f>
        <v>1</v>
      </c>
      <c r="AW389" s="18">
        <f ca="1">VLOOKUP(AV389,AV394:BH400,AW391+1,FALSE)</f>
        <v>28</v>
      </c>
      <c r="AX389" s="18">
        <f ca="1">VLOOKUP(AV389,AV394:BH400,AX391+1,FALSE)</f>
        <v>49.3</v>
      </c>
      <c r="AY389" s="18">
        <f ca="1">VLOOKUP(AV389,AV394:BH400,AY391+1,FALSE)</f>
        <v>96.6</v>
      </c>
      <c r="AZ389" s="18">
        <f ca="1">VLOOKUP(AV389,AV394:BH400,AZ391+1,FALSE)</f>
        <v>160.5</v>
      </c>
      <c r="BA389" s="18">
        <f ca="1">VLOOKUP(AV389,AV394:BH400,BA391+1,FALSE)</f>
        <v>197</v>
      </c>
      <c r="BB389" s="18">
        <f ca="1">VLOOKUP(AV389,AV394:BH400,BB391+1,FALSE)</f>
        <v>209.3</v>
      </c>
      <c r="BC389" s="18">
        <f ca="1">VLOOKUP(AV389,AV394:BH400,BC391+1,FALSE)</f>
        <v>191</v>
      </c>
      <c r="BD389" s="18">
        <f ca="1">VLOOKUP(AV389,AV394:BH400,BD391+1,FALSE)</f>
        <v>177.2</v>
      </c>
      <c r="BE389" s="18">
        <f ca="1">VLOOKUP(AV389,AV394:BH400,BE391+1,FALSE)</f>
        <v>123.9</v>
      </c>
      <c r="BF389" s="18">
        <f ca="1">VLOOKUP(AV389,AV394:BH400,BF391+1,FALSE)</f>
        <v>73.2</v>
      </c>
      <c r="BG389" s="18">
        <f ca="1">VLOOKUP(AV389,AV394:BH400,BG391+1,FALSE)</f>
        <v>34.299999999999997</v>
      </c>
      <c r="BH389" s="18">
        <f ca="1">VLOOKUP(AV389,AV394:BH400,BH391+1,FALSE)</f>
        <v>21</v>
      </c>
    </row>
    <row r="390" spans="3:64" x14ac:dyDescent="0.3">
      <c r="I390" s="1" t="s">
        <v>229</v>
      </c>
      <c r="W390" s="4" t="s">
        <v>188</v>
      </c>
      <c r="AJ390" s="4" t="s">
        <v>189</v>
      </c>
      <c r="AW390" s="4" t="s">
        <v>190</v>
      </c>
    </row>
    <row r="391" spans="3:64" x14ac:dyDescent="0.3">
      <c r="W391" s="4">
        <v>1</v>
      </c>
      <c r="X391" s="4">
        <v>2</v>
      </c>
      <c r="Y391" s="4">
        <v>3</v>
      </c>
      <c r="Z391" s="4">
        <v>4</v>
      </c>
      <c r="AA391" s="4">
        <v>5</v>
      </c>
      <c r="AB391" s="4">
        <v>6</v>
      </c>
      <c r="AC391" s="4">
        <v>7</v>
      </c>
      <c r="AD391" s="4">
        <v>8</v>
      </c>
      <c r="AE391" s="4">
        <v>9</v>
      </c>
      <c r="AF391" s="4">
        <v>10</v>
      </c>
      <c r="AG391" s="4">
        <v>11</v>
      </c>
      <c r="AH391" s="4">
        <v>12</v>
      </c>
      <c r="AI391" s="10"/>
      <c r="AJ391" s="4">
        <v>1</v>
      </c>
      <c r="AK391" s="4">
        <v>2</v>
      </c>
      <c r="AL391" s="4">
        <v>3</v>
      </c>
      <c r="AM391" s="4">
        <v>4</v>
      </c>
      <c r="AN391" s="4">
        <v>5</v>
      </c>
      <c r="AO391" s="4">
        <v>6</v>
      </c>
      <c r="AP391" s="4">
        <v>7</v>
      </c>
      <c r="AQ391" s="4">
        <v>8</v>
      </c>
      <c r="AR391" s="4">
        <v>9</v>
      </c>
      <c r="AS391" s="4">
        <v>10</v>
      </c>
      <c r="AT391" s="4">
        <v>11</v>
      </c>
      <c r="AU391" s="4">
        <v>12</v>
      </c>
      <c r="AW391" s="4">
        <v>1</v>
      </c>
      <c r="AX391" s="4">
        <v>2</v>
      </c>
      <c r="AY391" s="4">
        <v>3</v>
      </c>
      <c r="AZ391" s="4">
        <v>4</v>
      </c>
      <c r="BA391" s="4">
        <v>5</v>
      </c>
      <c r="BB391" s="4">
        <v>6</v>
      </c>
      <c r="BC391" s="4">
        <v>7</v>
      </c>
      <c r="BD391" s="4">
        <v>8</v>
      </c>
      <c r="BE391" s="4">
        <v>9</v>
      </c>
      <c r="BF391" s="4">
        <v>10</v>
      </c>
      <c r="BG391" s="4">
        <v>11</v>
      </c>
      <c r="BH391" s="4">
        <v>12</v>
      </c>
    </row>
    <row r="392" spans="3:64" x14ac:dyDescent="0.3">
      <c r="L392" t="s">
        <v>366</v>
      </c>
      <c r="M392" t="s">
        <v>142</v>
      </c>
      <c r="N392" t="s">
        <v>174</v>
      </c>
      <c r="Q392" t="s">
        <v>173</v>
      </c>
      <c r="W392" s="12" t="s">
        <v>3</v>
      </c>
      <c r="X392" s="12" t="s">
        <v>4</v>
      </c>
      <c r="Y392" s="12" t="s">
        <v>5</v>
      </c>
      <c r="Z392" s="12" t="s">
        <v>6</v>
      </c>
      <c r="AA392" s="12" t="s">
        <v>7</v>
      </c>
      <c r="AB392" s="12" t="s">
        <v>8</v>
      </c>
      <c r="AC392" s="12" t="s">
        <v>9</v>
      </c>
      <c r="AD392" s="12" t="s">
        <v>10</v>
      </c>
      <c r="AE392" s="12" t="s">
        <v>11</v>
      </c>
      <c r="AF392" s="12" t="s">
        <v>12</v>
      </c>
      <c r="AG392" s="12" t="s">
        <v>13</v>
      </c>
      <c r="AH392" s="12" t="s">
        <v>14</v>
      </c>
      <c r="AI392" s="13"/>
      <c r="AJ392" s="12" t="s">
        <v>3</v>
      </c>
      <c r="AK392" s="12" t="s">
        <v>4</v>
      </c>
      <c r="AL392" s="12" t="s">
        <v>5</v>
      </c>
      <c r="AM392" s="12" t="s">
        <v>6</v>
      </c>
      <c r="AN392" s="12" t="s">
        <v>7</v>
      </c>
      <c r="AO392" s="12" t="s">
        <v>8</v>
      </c>
      <c r="AP392" s="12" t="s">
        <v>9</v>
      </c>
      <c r="AQ392" s="12" t="s">
        <v>10</v>
      </c>
      <c r="AR392" s="12" t="s">
        <v>11</v>
      </c>
      <c r="AS392" s="12" t="s">
        <v>12</v>
      </c>
      <c r="AT392" s="12" t="s">
        <v>13</v>
      </c>
      <c r="AU392" s="12" t="s">
        <v>14</v>
      </c>
      <c r="AW392" s="12" t="s">
        <v>3</v>
      </c>
      <c r="AX392" s="12" t="s">
        <v>4</v>
      </c>
      <c r="AY392" s="12" t="s">
        <v>5</v>
      </c>
      <c r="AZ392" s="12" t="s">
        <v>6</v>
      </c>
      <c r="BA392" s="12" t="s">
        <v>7</v>
      </c>
      <c r="BB392" s="12" t="s">
        <v>8</v>
      </c>
      <c r="BC392" s="12" t="s">
        <v>9</v>
      </c>
      <c r="BD392" s="12" t="s">
        <v>10</v>
      </c>
      <c r="BE392" s="12" t="s">
        <v>11</v>
      </c>
      <c r="BF392" s="12" t="s">
        <v>12</v>
      </c>
      <c r="BG392" s="12" t="s">
        <v>13</v>
      </c>
      <c r="BH392" s="12" t="s">
        <v>14</v>
      </c>
    </row>
    <row r="393" spans="3:64" x14ac:dyDescent="0.3">
      <c r="L393" t="s">
        <v>119</v>
      </c>
      <c r="N393" t="s">
        <v>119</v>
      </c>
      <c r="P393" t="s">
        <v>171</v>
      </c>
      <c r="Q393" t="s">
        <v>172</v>
      </c>
      <c r="R393" t="s">
        <v>175</v>
      </c>
      <c r="S393" t="s">
        <v>177</v>
      </c>
      <c r="T393" t="s">
        <v>178</v>
      </c>
      <c r="U393" t="s">
        <v>179</v>
      </c>
      <c r="V393" t="s">
        <v>179</v>
      </c>
      <c r="W393" s="4"/>
      <c r="X393" s="4"/>
      <c r="Y393" s="4"/>
      <c r="Z393" s="4"/>
      <c r="AA393" s="4"/>
      <c r="AB393" s="4"/>
      <c r="AC393" s="4"/>
      <c r="AD393" s="4"/>
      <c r="AE393" s="4"/>
      <c r="AF393" s="4"/>
      <c r="AG393" s="4"/>
      <c r="AH393" s="4"/>
      <c r="AI393" s="10"/>
      <c r="AJ393" s="4"/>
      <c r="AK393" s="4"/>
      <c r="AL393" s="4"/>
      <c r="AM393" s="4"/>
      <c r="AN393" s="4"/>
      <c r="AO393" s="4"/>
      <c r="AP393" s="4"/>
      <c r="AQ393" s="4"/>
      <c r="AR393" s="4"/>
      <c r="AS393" s="4"/>
      <c r="AT393" s="4"/>
      <c r="AU393" s="4"/>
      <c r="AW393" s="4"/>
      <c r="AX393" s="4"/>
      <c r="AY393" s="4"/>
      <c r="AZ393" s="4"/>
      <c r="BA393" s="4"/>
      <c r="BB393" s="4"/>
      <c r="BC393" s="4"/>
      <c r="BD393" s="4"/>
      <c r="BE393" s="4"/>
      <c r="BF393" s="4"/>
      <c r="BG393" s="4"/>
      <c r="BH393" s="4"/>
      <c r="BL393" t="s">
        <v>63</v>
      </c>
    </row>
    <row r="394" spans="3:64" x14ac:dyDescent="0.3">
      <c r="L394" s="16" t="str">
        <f>'Drop-down'!$AX$6</f>
        <v>nvt</v>
      </c>
      <c r="N394" s="14">
        <f ca="1">IF('Drop-down'!$BA$6="vul in",0,'Drop-down'!$BA$6)</f>
        <v>0</v>
      </c>
      <c r="P394">
        <v>0</v>
      </c>
      <c r="Q394">
        <v>1</v>
      </c>
      <c r="R394" t="str">
        <f ca="1">IF(N394=P394,"ja","nee")</f>
        <v>ja</v>
      </c>
      <c r="S394" t="str">
        <f ca="1">IF(AND(N394&gt;P394,N394&lt;P395),Q394,"n.v.t.")</f>
        <v>n.v.t.</v>
      </c>
      <c r="T394" t="str">
        <f t="shared" ref="T394:T400" ca="1" si="283">IF(S394="n.v.t.","n.v.t.",Q394+1)</f>
        <v>n.v.t.</v>
      </c>
      <c r="U394" t="str">
        <f ca="1">IF(S394="n.v.t.","n.v.t.",(P395-N394)/(P395-P394))</f>
        <v>n.v.t.</v>
      </c>
      <c r="V394" t="str">
        <f ca="1">IF(T394="n.v.t.","n.v.t.",(N394-P394)/(P395-P394))</f>
        <v>n.v.t.</v>
      </c>
      <c r="W394" s="4" cm="1">
        <f t="array" ref="W394">INDEX(Datablad!$E$70:$L$83,W391+2,M395)</f>
        <v>28</v>
      </c>
      <c r="X394" s="4" cm="1">
        <f t="array" ref="X394">INDEX(Datablad!$E$70:$L$83,X391+2,M395)</f>
        <v>49.3</v>
      </c>
      <c r="Y394" s="4" cm="1">
        <f t="array" ref="Y394">INDEX(Datablad!$E$70:$L$83,Y391+2,M395)</f>
        <v>96.6</v>
      </c>
      <c r="Z394" s="4" cm="1">
        <f t="array" ref="Z394">INDEX(Datablad!$E$70:$L$83,Z391+2,M395)</f>
        <v>160.5</v>
      </c>
      <c r="AA394" s="4" cm="1">
        <f t="array" ref="AA394">INDEX(Datablad!$E$70:$L$83,AA391+2,M395)</f>
        <v>197</v>
      </c>
      <c r="AB394" s="4" cm="1">
        <f t="array" ref="AB394">INDEX(Datablad!$E$70:$L$83,AB391+2,M395)</f>
        <v>209.3</v>
      </c>
      <c r="AC394" s="4" cm="1">
        <f t="array" ref="AC394">INDEX(Datablad!$E$70:$L$83,AC391+2,M395)</f>
        <v>191</v>
      </c>
      <c r="AD394" s="4" cm="1">
        <f t="array" ref="AD394">INDEX(Datablad!$E$70:$L$83,AD391+2,M395)</f>
        <v>177.2</v>
      </c>
      <c r="AE394" s="4" cm="1">
        <f t="array" ref="AE394">INDEX(Datablad!$E$70:$L$83,AE391+2,M395)</f>
        <v>123.9</v>
      </c>
      <c r="AF394" s="4" cm="1">
        <f t="array" ref="AF394">INDEX(Datablad!$E$70:$L$83,AF391+2,M395)</f>
        <v>73.2</v>
      </c>
      <c r="AG394" s="4" cm="1">
        <f t="array" ref="AG394">INDEX(Datablad!$E$70:$L$83,AG391+2,M395)</f>
        <v>34.299999999999997</v>
      </c>
      <c r="AH394" s="4" cm="1">
        <f t="array" ref="AH394">INDEX(Datablad!$E$70:$L$83,AH391+2,M395)</f>
        <v>21</v>
      </c>
      <c r="AI394" s="10"/>
      <c r="AJ394" s="4" cm="1">
        <f t="array" ref="AJ394">INDEX(Datablad!$N$70:$U$83,AJ391+2,M395)</f>
        <v>14.9</v>
      </c>
      <c r="AK394" s="4" cm="1">
        <f t="array" ref="AK394">INDEX(Datablad!$N$70:$U$83,AK391+2,M395)</f>
        <v>27.2</v>
      </c>
      <c r="AL394" s="4" cm="1">
        <f t="array" ref="AL394">INDEX(Datablad!$N$70:$U$83,AL391+2,M395)</f>
        <v>56.4</v>
      </c>
      <c r="AM394" s="4" cm="1">
        <f t="array" ref="AM394">INDEX(Datablad!$N$70:$U$83,AM391+2,M395)</f>
        <v>104.6</v>
      </c>
      <c r="AN394" s="4" cm="1">
        <f t="array" ref="AN394">INDEX(Datablad!$N$70:$U$83,AN391+2,M395)</f>
        <v>148.5</v>
      </c>
      <c r="AO394" s="4" cm="1">
        <f t="array" ref="AO394">INDEX(Datablad!$N$70:$U$83,AO391+2,M395)</f>
        <v>171</v>
      </c>
      <c r="AP394" s="4" cm="1">
        <f t="array" ref="AP394">INDEX(Datablad!$N$70:$U$83,AP391+2,M395)</f>
        <v>153</v>
      </c>
      <c r="AQ394" s="4" cm="1">
        <f t="array" ref="AQ394">INDEX(Datablad!$N$70:$U$83,AQ391+2,M395)</f>
        <v>125.8</v>
      </c>
      <c r="AR394" s="4" cm="1">
        <f t="array" ref="AR394">INDEX(Datablad!$N$70:$U$83,AR391+2,M395)</f>
        <v>73.7</v>
      </c>
      <c r="AS394" s="4" cm="1">
        <f t="array" ref="AS394">INDEX(Datablad!$N$70:$U$83,AS391+2,M395)</f>
        <v>36.299999999999997</v>
      </c>
      <c r="AT394" s="4" cm="1">
        <f t="array" ref="AT394">INDEX(Datablad!$N$70:$U$83,AT391+2,M395)</f>
        <v>18.600000000000001</v>
      </c>
      <c r="AU394" s="4" cm="1">
        <f t="array" ref="AU394">INDEX(Datablad!$N$70:$U$83,AU391+2,M395)</f>
        <v>12.2</v>
      </c>
      <c r="AV394">
        <v>1</v>
      </c>
      <c r="AW394" s="4">
        <f t="shared" ref="AW394:AW400" ca="1" si="284">IF(R394="ja",W394,IF(S394="n.v.t.","n.v.t.",U394*W394+V394*AJ394))</f>
        <v>28</v>
      </c>
      <c r="AX394" s="4">
        <f t="shared" ref="AX394:AX400" ca="1" si="285">IF(R394="ja",X394,IF(S394="n.v.t.","n.v.t.",U394*X394+V394*AK394))</f>
        <v>49.3</v>
      </c>
      <c r="AY394" s="4">
        <f t="shared" ref="AY394:AY400" ca="1" si="286">IF(R394="ja",Y394,IF(S394="n.v.t.","n.v.t.",U394*Y394+V394*AL394))</f>
        <v>96.6</v>
      </c>
      <c r="AZ394" s="4">
        <f t="shared" ref="AZ394:AZ400" ca="1" si="287">IF(R394="ja",Z394,IF(S394="n.v.t.","n.v.t.",U394*Z394+V394*AM394))</f>
        <v>160.5</v>
      </c>
      <c r="BA394" s="4">
        <f t="shared" ref="BA394:BA400" ca="1" si="288">IF(R394="ja",AA394,IF(S394="n.v.t.","n.v.t.",U394*AA394+V394*AN394))</f>
        <v>197</v>
      </c>
      <c r="BB394" s="4">
        <f t="shared" ref="BB394:BB400" ca="1" si="289">IF(R394="ja",AB394,IF(S394="n.v.t.","n.v.t.",U394*AB394+V394*AO394))</f>
        <v>209.3</v>
      </c>
      <c r="BC394" s="4">
        <f t="shared" ref="BC394:BC400" ca="1" si="290">IF(R394="ja",AC394,IF(S394="n.v.t.","n.v.t.",U394*AC394+V394*AP394))</f>
        <v>191</v>
      </c>
      <c r="BD394" s="4">
        <f t="shared" ref="BD394:BD400" ca="1" si="291">IF(R394="ja",AD394,IF(S394="n.v.t.","n.v.t.",U394*AD394+V394*AQ394))</f>
        <v>177.2</v>
      </c>
      <c r="BE394" s="4">
        <f t="shared" ref="BE394:BE400" ca="1" si="292">IF(R394="ja",AE394,IF(S394="n.v.t.","n.v.t.",U394*AE394+V394*AR394))</f>
        <v>123.9</v>
      </c>
      <c r="BF394" s="4">
        <f t="shared" ref="BF394:BF400" ca="1" si="293">IF(R394="ja",AF394,IF(S394="n.v.t.","n.v.t.",U394*AF394+V394*AS394))</f>
        <v>73.2</v>
      </c>
      <c r="BG394" s="4">
        <f t="shared" ref="BG394:BG400" ca="1" si="294">IF(R394="ja",AG394,IF(S394="n.v.t.","n.v.t.",U394*AG394+V394*AT394))</f>
        <v>34.299999999999997</v>
      </c>
      <c r="BH394" s="4">
        <f t="shared" ref="BH394:BH400" ca="1" si="295">IF(R394="ja",AH394,IF(S394="n.v.t.","n.v.t.",U394*AH394+V394*AU394))</f>
        <v>21</v>
      </c>
    </row>
    <row r="395" spans="3:64" x14ac:dyDescent="0.3">
      <c r="L395" t="s">
        <v>187</v>
      </c>
      <c r="M395" s="58">
        <f>IF(L394="nvt",1,VLOOKUP(L394,K398:M406,3,FALSE))</f>
        <v>1</v>
      </c>
      <c r="P395">
        <v>30</v>
      </c>
      <c r="Q395">
        <v>2</v>
      </c>
      <c r="R395" t="str">
        <f ca="1">IF(N394=P395,"ja","nee")</f>
        <v>nee</v>
      </c>
      <c r="S395" t="str">
        <f ca="1">IF(AND(N394&gt;P395,N394&lt;P396),Q395,"n.v.t.")</f>
        <v>n.v.t.</v>
      </c>
      <c r="T395" t="str">
        <f t="shared" ca="1" si="283"/>
        <v>n.v.t.</v>
      </c>
      <c r="U395" t="str">
        <f ca="1">IF(S395="n.v.t.","n.v.t.",(P396-N394)/(P396-P395))</f>
        <v>n.v.t.</v>
      </c>
      <c r="V395" t="str">
        <f ca="1">IF(T395="n.v.t.","n.v.t.",(N394-P395)/(P396-P395))</f>
        <v>n.v.t.</v>
      </c>
      <c r="W395" s="4" cm="1">
        <f t="array" ref="W395">INDEX(Datablad!$N$70:$U$83,W391+2,M395)</f>
        <v>14.9</v>
      </c>
      <c r="X395" s="4" cm="1">
        <f t="array" ref="X395">INDEX(Datablad!$N$70:$U$83,X391+2,M395)</f>
        <v>27.2</v>
      </c>
      <c r="Y395" s="4" cm="1">
        <f t="array" ref="Y395">INDEX(Datablad!$N$70:$U$83,Y391+2,M395)</f>
        <v>56.4</v>
      </c>
      <c r="Z395" s="4" cm="1">
        <f t="array" ref="Z395">INDEX(Datablad!$N$70:$U$83,Z391+2,M395)</f>
        <v>104.6</v>
      </c>
      <c r="AA395" s="4" cm="1">
        <f t="array" ref="AA395">INDEX(Datablad!$N$70:$U$83,AA391+2,M395)</f>
        <v>148.5</v>
      </c>
      <c r="AB395" s="4" cm="1">
        <f t="array" ref="AB395">INDEX(Datablad!$N$70:$U$83,AB391+2,M395)</f>
        <v>171</v>
      </c>
      <c r="AC395" s="4" cm="1">
        <f t="array" ref="AC395">INDEX(Datablad!$N$70:$U$83,AC391+2,M395)</f>
        <v>153</v>
      </c>
      <c r="AD395" s="4" cm="1">
        <f t="array" ref="AD395">INDEX(Datablad!$N$70:$U$83,AD391+2,M395)</f>
        <v>125.8</v>
      </c>
      <c r="AE395" s="4" cm="1">
        <f t="array" ref="AE395">INDEX(Datablad!$N$70:$U$83,AE391+2,M395)</f>
        <v>73.7</v>
      </c>
      <c r="AF395" s="4" cm="1">
        <f t="array" ref="AF395">INDEX(Datablad!$N$70:$U$83,AF391+2,M395)</f>
        <v>36.299999999999997</v>
      </c>
      <c r="AG395" s="4" cm="1">
        <f t="array" ref="AG395">INDEX(Datablad!$N$70:$U$83,AG391+2,M395)</f>
        <v>18.600000000000001</v>
      </c>
      <c r="AH395" s="4" cm="1">
        <f t="array" ref="AH395">INDEX(Datablad!$N$70:$U$83,AH391+2,M395)</f>
        <v>12.2</v>
      </c>
      <c r="AI395" s="10"/>
      <c r="AJ395" s="4" cm="1">
        <f t="array" ref="AJ395">INDEX(Datablad!$W$70:$AD$83,AJ391+2,M395)</f>
        <v>14.3</v>
      </c>
      <c r="AK395" s="4" cm="1">
        <f t="array" ref="AK395">INDEX(Datablad!$W$70:$AD$83,AK391+2,M395)</f>
        <v>25.9</v>
      </c>
      <c r="AL395" s="4" cm="1">
        <f t="array" ref="AL395">INDEX(Datablad!$W$70:$AD$83,AL391+2,M395)</f>
        <v>44.3</v>
      </c>
      <c r="AM395" s="4" cm="1">
        <f t="array" ref="AM395">INDEX(Datablad!$W$70:$AD$83,AM391+2,M395)</f>
        <v>70</v>
      </c>
      <c r="AN395" s="4" cm="1">
        <f t="array" ref="AN395">INDEX(Datablad!$W$70:$AD$83,AN391+2,M395)</f>
        <v>113.6</v>
      </c>
      <c r="AO395" s="4" cm="1">
        <f t="array" ref="AO395">INDEX(Datablad!$W$70:$AD$83,AO391+2,M395)</f>
        <v>139.6</v>
      </c>
      <c r="AP395" s="4" cm="1">
        <f t="array" ref="AP395">INDEX(Datablad!$W$70:$AD$83,AP391+2,M395)</f>
        <v>123.5</v>
      </c>
      <c r="AQ395" s="4" cm="1">
        <f t="array" ref="AQ395">INDEX(Datablad!$W$70:$AD$83,AQ391+2,M395)</f>
        <v>91.5</v>
      </c>
      <c r="AR395" s="4" cm="1">
        <f t="array" ref="AR395">INDEX(Datablad!$W$70:$AD$83,AR391+2,M395)</f>
        <v>52.9</v>
      </c>
      <c r="AS395" s="4" cm="1">
        <f t="array" ref="AS395">INDEX(Datablad!$W$70:$AD$83,AS391+2,M395)</f>
        <v>33.5</v>
      </c>
      <c r="AT395" s="4" cm="1">
        <f t="array" ref="AT395">INDEX(Datablad!$W$70:$AD$83,AT391+2,M395)</f>
        <v>17.8</v>
      </c>
      <c r="AU395" s="4" cm="1">
        <f t="array" ref="AU395">INDEX(Datablad!$W$70:$AD$83,AU391+2,M395)</f>
        <v>11.7</v>
      </c>
      <c r="AV395">
        <v>2</v>
      </c>
      <c r="AW395" s="4" t="str">
        <f t="shared" ca="1" si="284"/>
        <v>n.v.t.</v>
      </c>
      <c r="AX395" s="4" t="str">
        <f t="shared" ca="1" si="285"/>
        <v>n.v.t.</v>
      </c>
      <c r="AY395" s="4" t="str">
        <f t="shared" ca="1" si="286"/>
        <v>n.v.t.</v>
      </c>
      <c r="AZ395" s="4" t="str">
        <f t="shared" ca="1" si="287"/>
        <v>n.v.t.</v>
      </c>
      <c r="BA395" s="4" t="str">
        <f t="shared" ca="1" si="288"/>
        <v>n.v.t.</v>
      </c>
      <c r="BB395" s="4" t="str">
        <f t="shared" ca="1" si="289"/>
        <v>n.v.t.</v>
      </c>
      <c r="BC395" s="4" t="str">
        <f t="shared" ca="1" si="290"/>
        <v>n.v.t.</v>
      </c>
      <c r="BD395" s="4" t="str">
        <f t="shared" ca="1" si="291"/>
        <v>n.v.t.</v>
      </c>
      <c r="BE395" s="4" t="str">
        <f t="shared" ca="1" si="292"/>
        <v>n.v.t.</v>
      </c>
      <c r="BF395" s="4" t="str">
        <f t="shared" ca="1" si="293"/>
        <v>n.v.t.</v>
      </c>
      <c r="BG395" s="4" t="str">
        <f t="shared" ca="1" si="294"/>
        <v>n.v.t.</v>
      </c>
      <c r="BH395" s="4" t="str">
        <f t="shared" ca="1" si="295"/>
        <v>n.v.t.</v>
      </c>
      <c r="BL395" t="s">
        <v>65</v>
      </c>
    </row>
    <row r="396" spans="3:64" x14ac:dyDescent="0.3">
      <c r="M396" s="58" t="str">
        <f>IF(L394="nvt","ho",VLOOKUP(L394,K398:M406,2,FALSE))</f>
        <v>ho</v>
      </c>
      <c r="P396">
        <v>45</v>
      </c>
      <c r="Q396">
        <v>3</v>
      </c>
      <c r="R396" t="str">
        <f ca="1">IF(N394=P396,"ja","nee")</f>
        <v>nee</v>
      </c>
      <c r="S396" t="str">
        <f ca="1">IF(AND(N394&gt;P396,N394&lt;P397),Q396,"n.v.t.")</f>
        <v>n.v.t.</v>
      </c>
      <c r="T396" t="str">
        <f t="shared" ca="1" si="283"/>
        <v>n.v.t.</v>
      </c>
      <c r="U396" t="str">
        <f ca="1">IF(S396="n.v.t.","n.v.t.",(P397-N394)/(P397-P396))</f>
        <v>n.v.t.</v>
      </c>
      <c r="V396" t="str">
        <f ca="1">IF(T396="n.v.t.","n.v.t.",(N394-P396)/(P397-P396))</f>
        <v>n.v.t.</v>
      </c>
      <c r="W396" s="4" cm="1">
        <f t="array" ref="W396">INDEX(Datablad!$W$70:$AD$83,W391+2,M395)</f>
        <v>14.3</v>
      </c>
      <c r="X396" s="4" cm="1">
        <f t="array" ref="X396">INDEX(Datablad!$W$70:$AD$83,X391+2,M395)</f>
        <v>25.9</v>
      </c>
      <c r="Y396" s="4" cm="1">
        <f t="array" ref="Y396">INDEX(Datablad!$W$70:$AD$83,Y391+2,M395)</f>
        <v>44.3</v>
      </c>
      <c r="Z396" s="4" cm="1">
        <f t="array" ref="Z396">INDEX(Datablad!$W$70:$AD$83,Z391+2,M395)</f>
        <v>70</v>
      </c>
      <c r="AA396" s="4" cm="1">
        <f t="array" ref="AA396">INDEX(Datablad!$W$70:$AD$83,AA391+2,M395)</f>
        <v>113.6</v>
      </c>
      <c r="AB396" s="4" cm="1">
        <f t="array" ref="AB396">INDEX(Datablad!$W$70:$AD$83,AB391+2,M395)</f>
        <v>139.6</v>
      </c>
      <c r="AC396" s="4" cm="1">
        <f t="array" ref="AC396">INDEX(Datablad!$W$70:$AD$83,AC391+2,M395)</f>
        <v>123.5</v>
      </c>
      <c r="AD396" s="4" cm="1">
        <f t="array" ref="AD396">INDEX(Datablad!$W$70:$AD$83,AD391+2,M395)</f>
        <v>91.5</v>
      </c>
      <c r="AE396" s="4" cm="1">
        <f t="array" ref="AE396">INDEX(Datablad!$W$70:$AD$83,AE391+2,M395)</f>
        <v>52.9</v>
      </c>
      <c r="AF396" s="4" cm="1">
        <f t="array" ref="AF396">INDEX(Datablad!$W$70:$AD$83,AF391+2,M395)</f>
        <v>33.5</v>
      </c>
      <c r="AG396" s="4" cm="1">
        <f t="array" ref="AG396">INDEX(Datablad!$W$70:$AD$83,AG391+2,M395)</f>
        <v>17.8</v>
      </c>
      <c r="AH396" s="4" cm="1">
        <f t="array" ref="AH396">INDEX(Datablad!$W$70:$AD$83,AH391+2,M395)</f>
        <v>11.7</v>
      </c>
      <c r="AI396" s="10"/>
      <c r="AJ396" s="4" cm="1">
        <f t="array" ref="AJ396">INDEX(Datablad!$AF$70:$AM$83,AJ391+2,M395)</f>
        <v>13.4</v>
      </c>
      <c r="AK396" s="4" cm="1">
        <f t="array" ref="AK396">INDEX(Datablad!$AF$70:$AM$83,AK391+2,M395)</f>
        <v>24.1</v>
      </c>
      <c r="AL396" s="4" cm="1">
        <f t="array" ref="AL396">INDEX(Datablad!$AF$70:$AM$83,AL391+2,M395)</f>
        <v>41.5</v>
      </c>
      <c r="AM396" s="4" cm="1">
        <f t="array" ref="AM396">INDEX(Datablad!$AF$70:$AM$83,AM391+2,M395)</f>
        <v>57.8</v>
      </c>
      <c r="AN396" s="4" cm="1">
        <f t="array" ref="AN396">INDEX(Datablad!$AF$70:$AM$83,AN391+2,M395)</f>
        <v>78.5</v>
      </c>
      <c r="AO396" s="4" cm="1">
        <f t="array" ref="AO396">INDEX(Datablad!$AF$70:$AM$83,AO391+2,M395)</f>
        <v>102.9</v>
      </c>
      <c r="AP396" s="4" cm="1">
        <f t="array" ref="AP396">INDEX(Datablad!$AF$70:$AM$83,AP391+2,M395)</f>
        <v>90.4</v>
      </c>
      <c r="AQ396" s="4" cm="1">
        <f t="array" ref="AQ396">INDEX(Datablad!$AF$70:$AM$83,AQ391+2,M395)</f>
        <v>68</v>
      </c>
      <c r="AR396" s="4" cm="1">
        <f t="array" ref="AR396">INDEX(Datablad!$AF$70:$AM$83,AR391+2,M395)</f>
        <v>48.6</v>
      </c>
      <c r="AS396" s="4" cm="1">
        <f t="array" ref="AS396">INDEX(Datablad!$AF$70:$AM$83,AS391+2,M395)</f>
        <v>31.5</v>
      </c>
      <c r="AT396" s="4" cm="1">
        <f t="array" ref="AT396">INDEX(Datablad!$AF$70:$AM$83,AT391+2,M395)</f>
        <v>16.600000000000001</v>
      </c>
      <c r="AU396" s="4" cm="1">
        <f t="array" ref="AU396">INDEX(Datablad!$AF$70:$AM$83,AU391+2,M395)</f>
        <v>10.9</v>
      </c>
      <c r="AV396">
        <v>3</v>
      </c>
      <c r="AW396" s="4" t="str">
        <f t="shared" ca="1" si="284"/>
        <v>n.v.t.</v>
      </c>
      <c r="AX396" s="4" t="str">
        <f t="shared" ca="1" si="285"/>
        <v>n.v.t.</v>
      </c>
      <c r="AY396" s="4" t="str">
        <f t="shared" ca="1" si="286"/>
        <v>n.v.t.</v>
      </c>
      <c r="AZ396" s="4" t="str">
        <f t="shared" ca="1" si="287"/>
        <v>n.v.t.</v>
      </c>
      <c r="BA396" s="4" t="str">
        <f t="shared" ca="1" si="288"/>
        <v>n.v.t.</v>
      </c>
      <c r="BB396" s="4" t="str">
        <f t="shared" ca="1" si="289"/>
        <v>n.v.t.</v>
      </c>
      <c r="BC396" s="4" t="str">
        <f t="shared" ca="1" si="290"/>
        <v>n.v.t.</v>
      </c>
      <c r="BD396" s="4" t="str">
        <f t="shared" ca="1" si="291"/>
        <v>n.v.t.</v>
      </c>
      <c r="BE396" s="4" t="str">
        <f t="shared" ca="1" si="292"/>
        <v>n.v.t.</v>
      </c>
      <c r="BF396" s="4" t="str">
        <f t="shared" ca="1" si="293"/>
        <v>n.v.t.</v>
      </c>
      <c r="BG396" s="4" t="str">
        <f t="shared" ca="1" si="294"/>
        <v>n.v.t.</v>
      </c>
      <c r="BH396" s="4" t="str">
        <f t="shared" ca="1" si="295"/>
        <v>n.v.t.</v>
      </c>
    </row>
    <row r="397" spans="3:64" x14ac:dyDescent="0.3">
      <c r="K397" t="s">
        <v>366</v>
      </c>
      <c r="L397" t="s">
        <v>367</v>
      </c>
      <c r="M397" t="s">
        <v>370</v>
      </c>
      <c r="P397">
        <v>60</v>
      </c>
      <c r="Q397">
        <v>4</v>
      </c>
      <c r="R397" t="str">
        <f ca="1">IF(N394=P397,"ja","nee")</f>
        <v>nee</v>
      </c>
      <c r="S397" t="str">
        <f ca="1">IF(AND(N394&gt;P397,N394&lt;P398),Q397,"n.v.t.")</f>
        <v>n.v.t.</v>
      </c>
      <c r="T397" t="str">
        <f t="shared" ca="1" si="283"/>
        <v>n.v.t.</v>
      </c>
      <c r="U397" t="str">
        <f ca="1">IF(S397="n.v.t.","n.v.t.",(P398-N394)/(P398-P397))</f>
        <v>n.v.t.</v>
      </c>
      <c r="V397" t="str">
        <f ca="1">IF(T397="n.v.t.","n.v.t.",(N394-P397)/(P398-P397))</f>
        <v>n.v.t.</v>
      </c>
      <c r="W397" s="4" cm="1">
        <f t="array" ref="W397">INDEX(Datablad!$AF$70:$AM$83,W391+2,M395)</f>
        <v>13.4</v>
      </c>
      <c r="X397" s="4" cm="1">
        <f t="array" ref="X397">INDEX(Datablad!$AF$70:$AM$83,X391+2,M395)</f>
        <v>24.1</v>
      </c>
      <c r="Y397" s="4" cm="1">
        <f t="array" ref="Y397">INDEX(Datablad!$AF$70:$AM$83,Y391+2,M395)</f>
        <v>41.5</v>
      </c>
      <c r="Z397" s="4" cm="1">
        <f t="array" ref="Z397">INDEX(Datablad!$AF$70:$AM$83,Z391+2,M395)</f>
        <v>57.8</v>
      </c>
      <c r="AA397" s="4" cm="1">
        <f t="array" ref="AA397">INDEX(Datablad!$AF$70:$AM$83,AA391+2,M395)</f>
        <v>78.5</v>
      </c>
      <c r="AB397" s="4" cm="1">
        <f t="array" ref="AB397">INDEX(Datablad!$AF$70:$AM$83,AB391+2,M395)</f>
        <v>102.9</v>
      </c>
      <c r="AC397" s="4" cm="1">
        <f t="array" ref="AC397">INDEX(Datablad!$AF$70:$AM$83,AC391+2,M395)</f>
        <v>90.4</v>
      </c>
      <c r="AD397" s="4" cm="1">
        <f t="array" ref="AD397">INDEX(Datablad!$AF$70:$AM$83,AD391+2,M395)</f>
        <v>68</v>
      </c>
      <c r="AE397" s="4" cm="1">
        <f t="array" ref="AE397">INDEX(Datablad!$AF$70:$AM$83,AE391+2,M395)</f>
        <v>48.6</v>
      </c>
      <c r="AF397" s="4" cm="1">
        <f t="array" ref="AF397">INDEX(Datablad!$AF$70:$AM$83,AF391+2,M395)</f>
        <v>31.5</v>
      </c>
      <c r="AG397" s="4" cm="1">
        <f t="array" ref="AG397">INDEX(Datablad!$AF$70:$AM$83,AG391+2,M395)</f>
        <v>16.600000000000001</v>
      </c>
      <c r="AH397" s="4" cm="1">
        <f t="array" ref="AH397">INDEX(Datablad!$AF$70:$AM$83,AH391+2,M395)</f>
        <v>10.9</v>
      </c>
      <c r="AI397" s="10"/>
      <c r="AJ397" s="4" cm="1">
        <f t="array" ref="AJ397">INDEX(Datablad!$AO$70:$AV$83,AJ391+2,M395)</f>
        <v>11.1</v>
      </c>
      <c r="AK397" s="4" cm="1">
        <f t="array" ref="AK397">INDEX(Datablad!$AO$70:$AV$83,AK391+2,M395)</f>
        <v>19.5</v>
      </c>
      <c r="AL397" s="4" cm="1">
        <f t="array" ref="AL397">INDEX(Datablad!$AO$70:$AV$83,AL391+2,M395)</f>
        <v>34.799999999999997</v>
      </c>
      <c r="AM397" s="4" cm="1">
        <f t="array" ref="AM397">INDEX(Datablad!$AO$70:$AV$83,AM391+2,M395)</f>
        <v>49.4</v>
      </c>
      <c r="AN397" s="4" cm="1">
        <f t="array" ref="AN397">INDEX(Datablad!$AO$70:$AV$83,AN391+2,M395)</f>
        <v>61.9</v>
      </c>
      <c r="AO397" s="4" cm="1">
        <f t="array" ref="AO397">INDEX(Datablad!$AO$70:$AV$83,AO391+2,M395)</f>
        <v>73</v>
      </c>
      <c r="AP397" s="4" cm="1">
        <f t="array" ref="AP397">INDEX(Datablad!$AO$70:$AV$83,AP391+2,M395)</f>
        <v>66.7</v>
      </c>
      <c r="AQ397" s="4" cm="1">
        <f t="array" ref="AQ397">INDEX(Datablad!$AO$70:$AV$83,AQ391+2,M395)</f>
        <v>55.9</v>
      </c>
      <c r="AR397" s="4" cm="1">
        <f t="array" ref="AR397">INDEX(Datablad!$AO$70:$AV$83,AR391+2,M395)</f>
        <v>41.4</v>
      </c>
      <c r="AS397" s="4" cm="1">
        <f t="array" ref="AS397">INDEX(Datablad!$AO$70:$AV$83,AS391+2,M395)</f>
        <v>26.4</v>
      </c>
      <c r="AT397" s="4" cm="1">
        <f t="array" ref="AT397">INDEX(Datablad!$AO$70:$AV$83,AT391+2,M395)</f>
        <v>13.6</v>
      </c>
      <c r="AU397" s="4" cm="1">
        <f t="array" ref="AU397">INDEX(Datablad!$AO$70:$AV$83,AU391+2,M395)</f>
        <v>8.9</v>
      </c>
      <c r="AV397">
        <v>4</v>
      </c>
      <c r="AW397" s="4" t="str">
        <f t="shared" ca="1" si="284"/>
        <v>n.v.t.</v>
      </c>
      <c r="AX397" s="4" t="str">
        <f t="shared" ca="1" si="285"/>
        <v>n.v.t.</v>
      </c>
      <c r="AY397" s="4" t="str">
        <f t="shared" ca="1" si="286"/>
        <v>n.v.t.</v>
      </c>
      <c r="AZ397" s="4" t="str">
        <f t="shared" ca="1" si="287"/>
        <v>n.v.t.</v>
      </c>
      <c r="BA397" s="4" t="str">
        <f t="shared" ca="1" si="288"/>
        <v>n.v.t.</v>
      </c>
      <c r="BB397" s="4" t="str">
        <f t="shared" ca="1" si="289"/>
        <v>n.v.t.</v>
      </c>
      <c r="BC397" s="4" t="str">
        <f t="shared" ca="1" si="290"/>
        <v>n.v.t.</v>
      </c>
      <c r="BD397" s="4" t="str">
        <f t="shared" ca="1" si="291"/>
        <v>n.v.t.</v>
      </c>
      <c r="BE397" s="4" t="str">
        <f t="shared" ca="1" si="292"/>
        <v>n.v.t.</v>
      </c>
      <c r="BF397" s="4" t="str">
        <f t="shared" ca="1" si="293"/>
        <v>n.v.t.</v>
      </c>
      <c r="BG397" s="4" t="str">
        <f t="shared" ca="1" si="294"/>
        <v>n.v.t.</v>
      </c>
      <c r="BH397" s="4" t="str">
        <f t="shared" ca="1" si="295"/>
        <v>n.v.t.</v>
      </c>
      <c r="BL397" t="s">
        <v>64</v>
      </c>
    </row>
    <row r="398" spans="3:64" x14ac:dyDescent="0.3">
      <c r="K398">
        <v>1</v>
      </c>
      <c r="L398" s="11" t="s">
        <v>368</v>
      </c>
      <c r="M398">
        <v>1</v>
      </c>
      <c r="P398">
        <v>90</v>
      </c>
      <c r="Q398">
        <v>5</v>
      </c>
      <c r="R398" t="str">
        <f ca="1">IF(N394=P398,"ja","nee")</f>
        <v>nee</v>
      </c>
      <c r="S398" t="str">
        <f ca="1">IF(AND(N394&gt;P398,N394&lt;P399),Q398,"n.v.t.")</f>
        <v>n.v.t.</v>
      </c>
      <c r="T398" t="str">
        <f t="shared" ca="1" si="283"/>
        <v>n.v.t.</v>
      </c>
      <c r="U398" t="str">
        <f ca="1">IF(S398="n.v.t.","n.v.t.",(P399-N394)/(P399-P398))</f>
        <v>n.v.t.</v>
      </c>
      <c r="V398" t="str">
        <f ca="1">IF(T398="n.v.t.","n.v.t.",(N394-P398)/(P399-P398))</f>
        <v>n.v.t.</v>
      </c>
      <c r="W398" s="4" cm="1">
        <f t="array" ref="W398">INDEX(Datablad!$AO$70:$AV$83,W391+2,M395)</f>
        <v>11.1</v>
      </c>
      <c r="X398" s="4" cm="1">
        <f t="array" ref="X398">INDEX(Datablad!$AO$70:$AV$83,X391+2,M395)</f>
        <v>19.5</v>
      </c>
      <c r="Y398" s="4" cm="1">
        <f t="array" ref="Y398">INDEX(Datablad!$AO$70:$AV$83,Y391+2,M395)</f>
        <v>34.799999999999997</v>
      </c>
      <c r="Z398" s="4" cm="1">
        <f t="array" ref="Z398">INDEX(Datablad!$AO$70:$AV$83,Z391+2,M395)</f>
        <v>49.4</v>
      </c>
      <c r="AA398" s="4" cm="1">
        <f t="array" ref="AA398">INDEX(Datablad!$AO$70:$AV$83,AA391+2,M395)</f>
        <v>61.9</v>
      </c>
      <c r="AB398" s="4" cm="1">
        <f t="array" ref="AB398">INDEX(Datablad!$AO$70:$AV$83,AB391+2,M395)</f>
        <v>73</v>
      </c>
      <c r="AC398" s="4" cm="1">
        <f t="array" ref="AC398">INDEX(Datablad!$AO$70:$AV$83,AC391+2,M395)</f>
        <v>66.7</v>
      </c>
      <c r="AD398" s="4" cm="1">
        <f t="array" ref="AD398">INDEX(Datablad!$AO$70:$AV$83,AD391+2,M395)</f>
        <v>55.9</v>
      </c>
      <c r="AE398" s="4" cm="1">
        <f t="array" ref="AE398">INDEX(Datablad!$AO$70:$AV$83,AE391+2,M395)</f>
        <v>41.4</v>
      </c>
      <c r="AF398" s="4" cm="1">
        <f t="array" ref="AF398">INDEX(Datablad!$AO$70:$AV$83,AF391+2,M395)</f>
        <v>26.4</v>
      </c>
      <c r="AG398" s="4" cm="1">
        <f t="array" ref="AG398">INDEX(Datablad!$AO$70:$AV$83,AG391+2,M395)</f>
        <v>13.6</v>
      </c>
      <c r="AH398" s="4" cm="1">
        <f t="array" ref="AH398">INDEX(Datablad!$AO$70:$AV$83,AH391+2,M395)</f>
        <v>8.9</v>
      </c>
      <c r="AI398" s="10"/>
      <c r="AJ398" s="4" cm="1">
        <f t="array" ref="AJ398">INDEX(Datablad!$AX$70:$BE$83,AJ391+2,M395)</f>
        <v>7.5</v>
      </c>
      <c r="AK398" s="4" cm="1">
        <f t="array" ref="AK398">INDEX(Datablad!$AX$70:$BE$83,AK391+2,M395)</f>
        <v>12.9</v>
      </c>
      <c r="AL398" s="4" cm="1">
        <f t="array" ref="AL398">INDEX(Datablad!$AX$70:$BE$83,AL391+2,M395)</f>
        <v>24.5</v>
      </c>
      <c r="AM398" s="4" cm="1">
        <f t="array" ref="AM398">INDEX(Datablad!$AX$70:$BE$83,AM391+2,M395)</f>
        <v>38.299999999999997</v>
      </c>
      <c r="AN398" s="4" cm="1">
        <f t="array" ref="AN398">INDEX(Datablad!$AX$70:$BE$83,AN391+2,M395)</f>
        <v>46.7</v>
      </c>
      <c r="AO398" s="4" cm="1">
        <f t="array" ref="AO398">INDEX(Datablad!$AX$70:$BE$83,AO391+2,M395)</f>
        <v>50.6</v>
      </c>
      <c r="AP398" s="4" cm="1">
        <f t="array" ref="AP398">INDEX(Datablad!$AX$70:$BE$83,AP391+2,M395)</f>
        <v>46.5</v>
      </c>
      <c r="AQ398" s="4" cm="1">
        <f t="array" ref="AQ398">INDEX(Datablad!$AX$70:$BE$83,AQ391+2,M395)</f>
        <v>42.1</v>
      </c>
      <c r="AR398" s="4" cm="1">
        <f t="array" ref="AR398">INDEX(Datablad!$AX$70:$BE$83,AR391+2,M395)</f>
        <v>30.4</v>
      </c>
      <c r="AS398" s="4" cm="1">
        <f t="array" ref="AS398">INDEX(Datablad!$AX$70:$BE$83,AS391+2,M395)</f>
        <v>18.600000000000001</v>
      </c>
      <c r="AT398" s="4" cm="1">
        <f t="array" ref="AT398">INDEX(Datablad!$AX$70:$BE$83,AT391+2,M395)</f>
        <v>9.1</v>
      </c>
      <c r="AU398" s="4" cm="1">
        <f t="array" ref="AU398">INDEX(Datablad!$AX$70:$BE$83,AU391+2,M395)</f>
        <v>5.8</v>
      </c>
      <c r="AV398">
        <v>5</v>
      </c>
      <c r="AW398" s="4" t="str">
        <f t="shared" ca="1" si="284"/>
        <v>n.v.t.</v>
      </c>
      <c r="AX398" s="4" t="str">
        <f t="shared" ca="1" si="285"/>
        <v>n.v.t.</v>
      </c>
      <c r="AY398" s="4" t="str">
        <f t="shared" ca="1" si="286"/>
        <v>n.v.t.</v>
      </c>
      <c r="AZ398" s="4" t="str">
        <f t="shared" ca="1" si="287"/>
        <v>n.v.t.</v>
      </c>
      <c r="BA398" s="4" t="str">
        <f t="shared" ca="1" si="288"/>
        <v>n.v.t.</v>
      </c>
      <c r="BB398" s="4" t="str">
        <f t="shared" ca="1" si="289"/>
        <v>n.v.t.</v>
      </c>
      <c r="BC398" s="4" t="str">
        <f t="shared" ca="1" si="290"/>
        <v>n.v.t.</v>
      </c>
      <c r="BD398" s="4" t="str">
        <f t="shared" ca="1" si="291"/>
        <v>n.v.t.</v>
      </c>
      <c r="BE398" s="4" t="str">
        <f t="shared" ca="1" si="292"/>
        <v>n.v.t.</v>
      </c>
      <c r="BF398" s="4" t="str">
        <f t="shared" ca="1" si="293"/>
        <v>n.v.t.</v>
      </c>
      <c r="BG398" s="4" t="str">
        <f t="shared" ca="1" si="294"/>
        <v>n.v.t.</v>
      </c>
      <c r="BH398" s="4" t="str">
        <f t="shared" ca="1" si="295"/>
        <v>n.v.t.</v>
      </c>
    </row>
    <row r="399" spans="3:64" x14ac:dyDescent="0.3">
      <c r="K399">
        <v>2</v>
      </c>
      <c r="L399" s="11" t="s">
        <v>183</v>
      </c>
      <c r="M399">
        <v>5</v>
      </c>
      <c r="P399">
        <v>135</v>
      </c>
      <c r="Q399">
        <v>6</v>
      </c>
      <c r="R399" t="str">
        <f ca="1">IF(N394=P399,"ja","nee")</f>
        <v>nee</v>
      </c>
      <c r="S399" t="str">
        <f ca="1">IF(AND(N394&gt;P399,N394&lt;P400),Q399,"n.v.t.")</f>
        <v>n.v.t.</v>
      </c>
      <c r="T399" t="str">
        <f t="shared" ca="1" si="283"/>
        <v>n.v.t.</v>
      </c>
      <c r="U399" t="str">
        <f ca="1">IF(S399="n.v.t.","n.v.t.",(P400-N394)/(P400-P399))</f>
        <v>n.v.t.</v>
      </c>
      <c r="V399" t="str">
        <f ca="1">IF(T399="n.v.t.","n.v.t.",(N394-P399)/(P400-P399))</f>
        <v>n.v.t.</v>
      </c>
      <c r="W399" s="4" cm="1">
        <f t="array" ref="W399">INDEX(Datablad!$AX$70:$BE$83,W391+2,M395)</f>
        <v>7.5</v>
      </c>
      <c r="X399" s="4" cm="1">
        <f t="array" ref="X399">INDEX(Datablad!$AX$70:$BE$83,X391+2,M395)</f>
        <v>12.9</v>
      </c>
      <c r="Y399" s="4" cm="1">
        <f t="array" ref="Y399">INDEX(Datablad!$AX$70:$BE$83,Y391+2,M395)</f>
        <v>24.5</v>
      </c>
      <c r="Z399" s="4" cm="1">
        <f t="array" ref="Z399">INDEX(Datablad!$AX$70:$BE$83,Z391+2,M395)</f>
        <v>38.299999999999997</v>
      </c>
      <c r="AA399" s="4" cm="1">
        <f t="array" ref="AA399">INDEX(Datablad!$AX$70:$BE$83,AA391+2,M395)</f>
        <v>46.7</v>
      </c>
      <c r="AB399" s="4" cm="1">
        <f t="array" ref="AB399">INDEX(Datablad!$AX$70:$BE$83,AB391+2,M395)</f>
        <v>50.6</v>
      </c>
      <c r="AC399" s="4" cm="1">
        <f t="array" ref="AC399">INDEX(Datablad!$AX$70:$BE$83,AC391+2,M395)</f>
        <v>46.5</v>
      </c>
      <c r="AD399" s="4" cm="1">
        <f t="array" ref="AD399">INDEX(Datablad!$AX$70:$BE$83,AD391+2,M395)</f>
        <v>42.1</v>
      </c>
      <c r="AE399" s="4" cm="1">
        <f t="array" ref="AE399">INDEX(Datablad!$AX$70:$BE$83,AE391+2,M395)</f>
        <v>30.4</v>
      </c>
      <c r="AF399" s="4" cm="1">
        <f t="array" ref="AF399">INDEX(Datablad!$AX$70:$BE$83,AF391+2,M395)</f>
        <v>18.600000000000001</v>
      </c>
      <c r="AG399" s="4" cm="1">
        <f t="array" ref="AG399">INDEX(Datablad!$AX$70:$BE$83,AG391+2,M395)</f>
        <v>9.1</v>
      </c>
      <c r="AH399" s="4" cm="1">
        <f t="array" ref="AH399">INDEX(Datablad!$AX$70:$BE$83,AH391+2,M395)</f>
        <v>5.8</v>
      </c>
      <c r="AI399" s="10"/>
      <c r="AJ399" s="4" cm="1">
        <f t="array" ref="AJ399">INDEX(Datablad!$BG$70:$BN$83,AJ391+2,M395)</f>
        <v>5.6</v>
      </c>
      <c r="AK399" s="4" cm="1">
        <f t="array" ref="AK399">INDEX(Datablad!$BG$70:$BN$83,AK391+2,M395)</f>
        <v>9.8000000000000007</v>
      </c>
      <c r="AL399" s="4" cm="1">
        <f t="array" ref="AL399">INDEX(Datablad!$BG$70:$BN$83,AL391+2,M395)</f>
        <v>19.3</v>
      </c>
      <c r="AM399" s="4" cm="1">
        <f t="array" ref="AM399">INDEX(Datablad!$BG$70:$BN$83,AM391+2,M395)</f>
        <v>32.1</v>
      </c>
      <c r="AN399" s="4" cm="1">
        <f t="array" ref="AN399">INDEX(Datablad!$BG$70:$BN$83,AN391+2,M395)</f>
        <v>39.299999999999997</v>
      </c>
      <c r="AO399" s="4" cm="1">
        <f t="array" ref="AO399">INDEX(Datablad!$BG$70:$BN$83,AO391+2,M395)</f>
        <v>41.8</v>
      </c>
      <c r="AP399" s="4" cm="1">
        <f t="array" ref="AP399">INDEX(Datablad!$BG$70:$BN$83,AP391+2,M395)</f>
        <v>38.200000000000003</v>
      </c>
      <c r="AQ399" s="4" cm="1">
        <f t="array" ref="AQ399">INDEX(Datablad!$BG$70:$BN$83,AQ391+2,M395)</f>
        <v>35.299999999999997</v>
      </c>
      <c r="AR399" s="4" cm="1">
        <f t="array" ref="AR399">INDEX(Datablad!$BG$70:$BN$83,AR391+2,M395)</f>
        <v>24.7</v>
      </c>
      <c r="AS399" s="4" cm="1">
        <f t="array" ref="AS399">INDEX(Datablad!$BG$70:$BN$83,AS391+2,M395)</f>
        <v>14.6</v>
      </c>
      <c r="AT399" s="4" cm="1">
        <f t="array" ref="AT399">INDEX(Datablad!$BG$70:$BN$83,AT391+2,M395)</f>
        <v>6.9</v>
      </c>
      <c r="AU399" s="4" cm="1">
        <f t="array" ref="AU399">INDEX(Datablad!$BG$70:$BN$83,AU391+2,M395)</f>
        <v>4.2</v>
      </c>
      <c r="AV399">
        <v>6</v>
      </c>
      <c r="AW399" s="4" t="str">
        <f t="shared" ca="1" si="284"/>
        <v>n.v.t.</v>
      </c>
      <c r="AX399" s="4" t="str">
        <f t="shared" ca="1" si="285"/>
        <v>n.v.t.</v>
      </c>
      <c r="AY399" s="4" t="str">
        <f t="shared" ca="1" si="286"/>
        <v>n.v.t.</v>
      </c>
      <c r="AZ399" s="4" t="str">
        <f t="shared" ca="1" si="287"/>
        <v>n.v.t.</v>
      </c>
      <c r="BA399" s="4" t="str">
        <f t="shared" ca="1" si="288"/>
        <v>n.v.t.</v>
      </c>
      <c r="BB399" s="4" t="str">
        <f t="shared" ca="1" si="289"/>
        <v>n.v.t.</v>
      </c>
      <c r="BC399" s="4" t="str">
        <f t="shared" ca="1" si="290"/>
        <v>n.v.t.</v>
      </c>
      <c r="BD399" s="4" t="str">
        <f t="shared" ca="1" si="291"/>
        <v>n.v.t.</v>
      </c>
      <c r="BE399" s="4" t="str">
        <f t="shared" ca="1" si="292"/>
        <v>n.v.t.</v>
      </c>
      <c r="BF399" s="4" t="str">
        <f t="shared" ca="1" si="293"/>
        <v>n.v.t.</v>
      </c>
      <c r="BG399" s="4" t="str">
        <f t="shared" ca="1" si="294"/>
        <v>n.v.t.</v>
      </c>
      <c r="BH399" s="4" t="str">
        <f t="shared" ca="1" si="295"/>
        <v>n.v.t.</v>
      </c>
    </row>
    <row r="400" spans="3:64" x14ac:dyDescent="0.3">
      <c r="K400">
        <v>3</v>
      </c>
      <c r="L400" s="11" t="s">
        <v>184</v>
      </c>
      <c r="M400">
        <v>6</v>
      </c>
      <c r="P400">
        <v>180</v>
      </c>
      <c r="Q400">
        <v>7</v>
      </c>
      <c r="R400" t="str">
        <f ca="1">IF(N394=P400,"ja","nee")</f>
        <v>nee</v>
      </c>
      <c r="S400" t="str">
        <f ca="1">IF(AND(N394&gt;P400,N394&lt;P401),Q400,"n.v.t.")</f>
        <v>n.v.t.</v>
      </c>
      <c r="T400" t="str">
        <f t="shared" ca="1" si="283"/>
        <v>n.v.t.</v>
      </c>
      <c r="U400" t="str">
        <f ca="1">IF(S400="n.v.t.","n.v.t.",(P401-N394)/(P401-P400))</f>
        <v>n.v.t.</v>
      </c>
      <c r="V400" t="str">
        <f ca="1">IF(T400="n.v.t.","n.v.t.",(N394-P400)/(P401-P400))</f>
        <v>n.v.t.</v>
      </c>
      <c r="W400" s="4" cm="1">
        <f t="array" ref="W400">INDEX(Datablad!$BG$70:$BN$83,W391+2,M395)</f>
        <v>5.6</v>
      </c>
      <c r="X400" s="4" cm="1">
        <f t="array" ref="X400">INDEX(Datablad!$BG$70:$BN$83,X391+2,M395)</f>
        <v>9.8000000000000007</v>
      </c>
      <c r="Y400" s="4" cm="1">
        <f t="array" ref="Y400">INDEX(Datablad!$BG$70:$BN$83,Y391+2,M395)</f>
        <v>19.3</v>
      </c>
      <c r="Z400" s="4" cm="1">
        <f t="array" ref="Z400">INDEX(Datablad!$BG$70:$BN$83,Z391+2,M395)</f>
        <v>32.1</v>
      </c>
      <c r="AA400" s="4" cm="1">
        <f t="array" ref="AA400">INDEX(Datablad!$BG$70:$BN$83,AA391+2,M395)</f>
        <v>39.299999999999997</v>
      </c>
      <c r="AB400" s="4" cm="1">
        <f t="array" ref="AB400">INDEX(Datablad!$BG$70:$BN$83,AB391+2,M395)</f>
        <v>41.8</v>
      </c>
      <c r="AC400" s="4" cm="1">
        <f t="array" ref="AC400">INDEX(Datablad!$BG$70:$BN$83,AC391+2,M395)</f>
        <v>38.200000000000003</v>
      </c>
      <c r="AD400" s="4" cm="1">
        <f t="array" ref="AD400">INDEX(Datablad!$BG$70:$BN$83,AD391+2,M395)</f>
        <v>35.299999999999997</v>
      </c>
      <c r="AE400" s="4" cm="1">
        <f t="array" ref="AE400">INDEX(Datablad!$BG$70:$BN$83,AE391+2,M395)</f>
        <v>24.7</v>
      </c>
      <c r="AF400" s="4" cm="1">
        <f t="array" ref="AF400">INDEX(Datablad!$BG$70:$BN$83,AF391+2,M395)</f>
        <v>14.6</v>
      </c>
      <c r="AG400" s="4" cm="1">
        <f t="array" ref="AG400">INDEX(Datablad!$BG$70:$BN$83,AG391+2,M395)</f>
        <v>6.9</v>
      </c>
      <c r="AH400" s="4" cm="1">
        <f t="array" ref="AH400">INDEX(Datablad!$BG$70:$BN$83,AH391+2,M395)</f>
        <v>4.2</v>
      </c>
      <c r="AI400" s="10"/>
      <c r="AV400">
        <v>7</v>
      </c>
      <c r="AW400" s="4" t="str">
        <f t="shared" ca="1" si="284"/>
        <v>n.v.t.</v>
      </c>
      <c r="AX400" s="4" t="str">
        <f t="shared" ca="1" si="285"/>
        <v>n.v.t.</v>
      </c>
      <c r="AY400" s="4" t="str">
        <f t="shared" ca="1" si="286"/>
        <v>n.v.t.</v>
      </c>
      <c r="AZ400" s="4" t="str">
        <f t="shared" ca="1" si="287"/>
        <v>n.v.t.</v>
      </c>
      <c r="BA400" s="4" t="str">
        <f t="shared" ca="1" si="288"/>
        <v>n.v.t.</v>
      </c>
      <c r="BB400" s="4" t="str">
        <f t="shared" ca="1" si="289"/>
        <v>n.v.t.</v>
      </c>
      <c r="BC400" s="4" t="str">
        <f t="shared" ca="1" si="290"/>
        <v>n.v.t.</v>
      </c>
      <c r="BD400" s="4" t="str">
        <f t="shared" ca="1" si="291"/>
        <v>n.v.t.</v>
      </c>
      <c r="BE400" s="4" t="str">
        <f t="shared" ca="1" si="292"/>
        <v>n.v.t.</v>
      </c>
      <c r="BF400" s="4" t="str">
        <f t="shared" ca="1" si="293"/>
        <v>n.v.t.</v>
      </c>
      <c r="BG400" s="4" t="str">
        <f t="shared" ca="1" si="294"/>
        <v>n.v.t.</v>
      </c>
      <c r="BH400" s="4" t="str">
        <f t="shared" ca="1" si="295"/>
        <v>n.v.t.</v>
      </c>
    </row>
    <row r="401" spans="9:64" x14ac:dyDescent="0.3">
      <c r="K401">
        <v>4</v>
      </c>
      <c r="L401" s="11" t="s">
        <v>185</v>
      </c>
      <c r="M401">
        <v>7</v>
      </c>
    </row>
    <row r="402" spans="9:64" x14ac:dyDescent="0.3">
      <c r="K402">
        <v>5</v>
      </c>
      <c r="L402" s="11" t="s">
        <v>186</v>
      </c>
      <c r="M402">
        <v>8</v>
      </c>
    </row>
    <row r="403" spans="9:64" x14ac:dyDescent="0.3">
      <c r="K403">
        <v>6</v>
      </c>
      <c r="L403" s="11" t="s">
        <v>180</v>
      </c>
      <c r="M403">
        <v>1</v>
      </c>
    </row>
    <row r="404" spans="9:64" x14ac:dyDescent="0.3">
      <c r="K404">
        <v>7</v>
      </c>
      <c r="L404" s="11" t="s">
        <v>176</v>
      </c>
      <c r="M404">
        <v>2</v>
      </c>
    </row>
    <row r="405" spans="9:64" x14ac:dyDescent="0.3">
      <c r="K405">
        <v>8</v>
      </c>
      <c r="L405" s="11" t="s">
        <v>181</v>
      </c>
      <c r="M405">
        <v>3</v>
      </c>
    </row>
    <row r="406" spans="9:64" x14ac:dyDescent="0.3">
      <c r="K406">
        <v>9</v>
      </c>
      <c r="L406" s="11" t="s">
        <v>182</v>
      </c>
      <c r="M406">
        <v>4</v>
      </c>
      <c r="BL406" t="s">
        <v>66</v>
      </c>
    </row>
    <row r="407" spans="9:64" x14ac:dyDescent="0.3">
      <c r="I407" s="1" t="s">
        <v>230</v>
      </c>
      <c r="T407" t="s">
        <v>199</v>
      </c>
      <c r="U407" t="s">
        <v>172</v>
      </c>
    </row>
    <row r="408" spans="9:64" x14ac:dyDescent="0.3">
      <c r="P408" s="4">
        <v>1</v>
      </c>
      <c r="Q408" t="s">
        <v>147</v>
      </c>
      <c r="T408" t="s">
        <v>198</v>
      </c>
      <c r="U408" t="s">
        <v>200</v>
      </c>
      <c r="V408" t="s">
        <v>201</v>
      </c>
      <c r="BL408" t="s">
        <v>67</v>
      </c>
    </row>
    <row r="409" spans="9:64" x14ac:dyDescent="0.3">
      <c r="P409" s="4">
        <v>2</v>
      </c>
      <c r="Q409" t="s">
        <v>148</v>
      </c>
      <c r="T409" t="s">
        <v>196</v>
      </c>
      <c r="U409" t="s">
        <v>202</v>
      </c>
    </row>
    <row r="410" spans="9:64" x14ac:dyDescent="0.3">
      <c r="P410" s="4">
        <v>3</v>
      </c>
      <c r="Q410" t="s">
        <v>149</v>
      </c>
      <c r="T410" t="s">
        <v>196</v>
      </c>
      <c r="U410" t="s">
        <v>202</v>
      </c>
      <c r="BL410" t="s">
        <v>68</v>
      </c>
    </row>
    <row r="411" spans="9:64" x14ac:dyDescent="0.3">
      <c r="P411" s="4">
        <v>4</v>
      </c>
      <c r="Q411" t="s">
        <v>150</v>
      </c>
      <c r="T411" t="s">
        <v>196</v>
      </c>
      <c r="U411" t="s">
        <v>202</v>
      </c>
    </row>
    <row r="412" spans="9:64" x14ac:dyDescent="0.3">
      <c r="P412" s="4">
        <v>5</v>
      </c>
      <c r="Q412" t="s">
        <v>151</v>
      </c>
      <c r="T412" t="s">
        <v>197</v>
      </c>
      <c r="U412" t="s">
        <v>203</v>
      </c>
    </row>
    <row r="413" spans="9:64" x14ac:dyDescent="0.3">
      <c r="P413" s="4">
        <v>6</v>
      </c>
      <c r="Q413" t="s">
        <v>152</v>
      </c>
      <c r="T413" t="s">
        <v>197</v>
      </c>
      <c r="U413" t="s">
        <v>203</v>
      </c>
    </row>
    <row r="415" spans="9:64" x14ac:dyDescent="0.3">
      <c r="P415" t="s">
        <v>3</v>
      </c>
      <c r="Q415" t="s">
        <v>4</v>
      </c>
      <c r="R415" t="s">
        <v>5</v>
      </c>
      <c r="S415" t="s">
        <v>6</v>
      </c>
      <c r="T415" t="s">
        <v>7</v>
      </c>
      <c r="U415" t="s">
        <v>8</v>
      </c>
      <c r="V415" t="s">
        <v>9</v>
      </c>
      <c r="W415" t="s">
        <v>10</v>
      </c>
      <c r="X415" t="s">
        <v>11</v>
      </c>
      <c r="Y415" t="s">
        <v>12</v>
      </c>
      <c r="Z415" t="s">
        <v>13</v>
      </c>
      <c r="AA415" t="s">
        <v>14</v>
      </c>
    </row>
    <row r="416" spans="9:64" x14ac:dyDescent="0.3">
      <c r="M416" t="s">
        <v>234</v>
      </c>
      <c r="P416" s="18">
        <f ca="1">IF($I422=1,P423,IF(OR($I422=2,$I422=3,$I422=4),Y423,AR423))</f>
        <v>0.55000000000000004</v>
      </c>
      <c r="Q416" s="18">
        <f ca="1">IF($I422=1,P424,IF(OR($I422=2,$I422=3,$I422=4),Y424,AR424))</f>
        <v>0.57999999999999996</v>
      </c>
      <c r="R416" s="18">
        <f ca="1">IF($I422=1,P425,IF(OR($I422=2,$I422=3,$I422=4),Y425,AR425))</f>
        <v>0.49</v>
      </c>
      <c r="S416" s="18">
        <f ca="1">IF($I422=1,P426,IF(OR($I422=2,$I422=3,$I422=4),Y426,AR426))</f>
        <v>0.36</v>
      </c>
      <c r="T416" s="18">
        <f ca="1">IF($I422=1,P427,IF(OR($I422=2,$I422=3,$I422=4),Y427,AR427))</f>
        <v>0.34</v>
      </c>
      <c r="U416" s="18">
        <f ca="1">IF($I422=1,P428,IF(OR($I422=2,$I422=3,$I422=4),Y428,AR428))</f>
        <v>0.37</v>
      </c>
      <c r="V416" s="18">
        <f ca="1">IF($I422=1,P429,IF(OR($I422=2,$I422=3,$I422=4),Y429,AR429))</f>
        <v>0.41</v>
      </c>
      <c r="W416" s="18">
        <f ca="1">IF($I422=1,P430,IF(OR($I422=2,$I422=3,$I422=4),Y430,AR430))</f>
        <v>0.37</v>
      </c>
      <c r="X416" s="18">
        <f ca="1">IF($I422=1,P431,IF(OR($I422=2,$I422=3,$I422=4),Y431,AR431))</f>
        <v>0.43</v>
      </c>
      <c r="Y416" s="18">
        <f ca="1">IF($I422=1,P432,IF(OR($I422=2,$I422=3,$I422=4),Y432,AR432))</f>
        <v>0.48</v>
      </c>
      <c r="Z416" s="18">
        <f ca="1">IF($I422=1,P433,IF(OR($I422=2,$I422=3,$I422=4),Y433,AR433))</f>
        <v>0.56000000000000005</v>
      </c>
      <c r="AA416" s="18">
        <f ca="1">IF($I422=1,P434,IF(OR($I422=2,$I422=3,$I422=4),Y434,AR434))</f>
        <v>0.6</v>
      </c>
    </row>
    <row r="421" spans="9:66" x14ac:dyDescent="0.3">
      <c r="I421" t="s">
        <v>241</v>
      </c>
      <c r="N421" s="17" t="s">
        <v>245</v>
      </c>
      <c r="P421" s="15"/>
      <c r="Q421" s="15"/>
      <c r="S421" t="s">
        <v>380</v>
      </c>
      <c r="W421" s="17" t="s">
        <v>246</v>
      </c>
      <c r="Y421" s="15"/>
      <c r="Z421" s="15"/>
      <c r="AA421" s="15"/>
      <c r="AB421" s="15"/>
      <c r="AF421">
        <f ca="1">HLOOKUP(S425,Datablad!$H$96:$BQ$97,2,FALSE)</f>
        <v>1</v>
      </c>
      <c r="AG421" t="s">
        <v>249</v>
      </c>
      <c r="AL421" t="s">
        <v>380</v>
      </c>
      <c r="AP421" s="17" t="s">
        <v>247</v>
      </c>
    </row>
    <row r="422" spans="9:66" x14ac:dyDescent="0.3">
      <c r="I422" s="59" t="str">
        <f>'Drop-down'!$BG$6</f>
        <v>nvt</v>
      </c>
      <c r="O422" t="s">
        <v>231</v>
      </c>
      <c r="Q422" s="15"/>
      <c r="X422" t="s">
        <v>232</v>
      </c>
      <c r="AA422" t="s">
        <v>248</v>
      </c>
      <c r="AB422" t="s">
        <v>250</v>
      </c>
      <c r="AF422" t="e">
        <f ca="1">IF(S424=1,VLOOKUP(S423,$AE$70:$AF$72,2,FALSE),VLOOKUP(S423,$AE$73:$AF$75,2,FALSE))</f>
        <v>#N/A</v>
      </c>
      <c r="AG422" t="s">
        <v>251</v>
      </c>
      <c r="AK422" t="s">
        <v>235</v>
      </c>
      <c r="AL422" s="14" t="str">
        <f>I422</f>
        <v>nvt</v>
      </c>
      <c r="AM422" t="s">
        <v>236</v>
      </c>
      <c r="AQ422" t="s">
        <v>233</v>
      </c>
      <c r="AT422" t="s">
        <v>248</v>
      </c>
      <c r="AU422" t="s">
        <v>250</v>
      </c>
      <c r="AW422" t="s">
        <v>270</v>
      </c>
    </row>
    <row r="423" spans="9:66" x14ac:dyDescent="0.3">
      <c r="I423" t="s">
        <v>377</v>
      </c>
      <c r="O423" t="s">
        <v>3</v>
      </c>
      <c r="P423" s="15">
        <v>1</v>
      </c>
      <c r="Q423" s="15"/>
      <c r="S423" s="59" t="str">
        <f>I422</f>
        <v>nvt</v>
      </c>
      <c r="T423" t="s">
        <v>239</v>
      </c>
      <c r="X423" t="s">
        <v>71</v>
      </c>
      <c r="Y423" s="19" t="e" cm="1">
        <f t="array" aca="1" ref="Y423" ca="1">INDEX(Datablad!$H$102:$BQ$113,Rekenblad!AB423,Rekenblad!AA423)</f>
        <v>#N/A</v>
      </c>
      <c r="AA423" t="e">
        <f ca="1">AF421+AF422-1</f>
        <v>#N/A</v>
      </c>
      <c r="AB423">
        <v>1</v>
      </c>
      <c r="AD423" t="s">
        <v>218</v>
      </c>
      <c r="AF423" t="s">
        <v>248</v>
      </c>
      <c r="AG423" t="s">
        <v>252</v>
      </c>
      <c r="AL423" s="14">
        <f ca="1">I426</f>
        <v>0</v>
      </c>
      <c r="AM423" t="s">
        <v>174</v>
      </c>
      <c r="AQ423" t="s">
        <v>71</v>
      </c>
      <c r="AR423" s="19" cm="1">
        <f t="array" aca="1" ref="AR423" ca="1">INDEX(Datablad!$H$123:$DU$134,Rekenblad!AU423,Rekenblad!AT423)</f>
        <v>0.55000000000000004</v>
      </c>
      <c r="AT423">
        <f ca="1">$AX432+$AX430</f>
        <v>7</v>
      </c>
      <c r="AU423">
        <v>1</v>
      </c>
      <c r="AW423" t="s">
        <v>267</v>
      </c>
      <c r="AX423" t="s">
        <v>261</v>
      </c>
      <c r="AY423" s="9" t="s">
        <v>257</v>
      </c>
      <c r="AZ423" s="9" t="s">
        <v>256</v>
      </c>
      <c r="BA423" s="9" t="s">
        <v>255</v>
      </c>
      <c r="BB423" s="9" t="s">
        <v>262</v>
      </c>
      <c r="BC423" s="9" t="s">
        <v>254</v>
      </c>
      <c r="BD423" s="9" t="s">
        <v>253</v>
      </c>
      <c r="BE423" t="s">
        <v>264</v>
      </c>
      <c r="BF423" s="9" t="s">
        <v>263</v>
      </c>
      <c r="BG423" s="9" t="s">
        <v>258</v>
      </c>
      <c r="BH423" s="9" t="s">
        <v>259</v>
      </c>
      <c r="BI423" s="9" t="s">
        <v>265</v>
      </c>
      <c r="BJ423" s="9" t="s">
        <v>260</v>
      </c>
      <c r="BL423" s="9" t="s">
        <v>259</v>
      </c>
      <c r="BM423" s="9" t="s">
        <v>265</v>
      </c>
      <c r="BN423" s="9" t="s">
        <v>260</v>
      </c>
    </row>
    <row r="424" spans="9:66" x14ac:dyDescent="0.3">
      <c r="I424" s="58">
        <f ca="1">IF('Drop-down'!$BJ$6=3,2,1)</f>
        <v>1</v>
      </c>
      <c r="O424" t="s">
        <v>4</v>
      </c>
      <c r="P424" s="15">
        <v>1</v>
      </c>
      <c r="Q424" s="15"/>
      <c r="S424" s="59">
        <f ca="1">I424</f>
        <v>1</v>
      </c>
      <c r="T424" t="s">
        <v>240</v>
      </c>
      <c r="X424" t="s">
        <v>73</v>
      </c>
      <c r="Y424" s="19" t="e" cm="1">
        <f t="array" aca="1" ref="Y424" ca="1">INDEX(Datablad!$H$102:$BQ$113,Rekenblad!AB424,Rekenblad!AA424)</f>
        <v>#N/A</v>
      </c>
      <c r="AA424" t="e">
        <f ca="1">AF421+AF422-1</f>
        <v>#N/A</v>
      </c>
      <c r="AB424">
        <v>2</v>
      </c>
      <c r="AD424">
        <v>1</v>
      </c>
      <c r="AE424" s="15">
        <v>2</v>
      </c>
      <c r="AF424" s="15">
        <v>1</v>
      </c>
      <c r="AM424" t="s">
        <v>237</v>
      </c>
      <c r="AQ424" t="s">
        <v>73</v>
      </c>
      <c r="AR424" s="19" cm="1">
        <f t="array" aca="1" ref="AR424" ca="1">INDEX(Datablad!$H$123:$DU$134,Rekenblad!AU424,Rekenblad!AT424)</f>
        <v>0.57999999999999996</v>
      </c>
      <c r="AT424">
        <f ca="1">$AX432+$AX430</f>
        <v>7</v>
      </c>
      <c r="AU424">
        <v>2</v>
      </c>
      <c r="AW424" t="s">
        <v>248</v>
      </c>
      <c r="AX424">
        <v>0</v>
      </c>
      <c r="AY424">
        <v>1</v>
      </c>
      <c r="AZ424">
        <v>2</v>
      </c>
      <c r="BA424">
        <v>3</v>
      </c>
      <c r="BB424">
        <v>4</v>
      </c>
      <c r="BC424">
        <v>5</v>
      </c>
      <c r="BD424">
        <v>6</v>
      </c>
      <c r="BE424">
        <v>7</v>
      </c>
      <c r="BF424">
        <v>8</v>
      </c>
      <c r="BG424">
        <v>9</v>
      </c>
      <c r="BH424">
        <v>10</v>
      </c>
      <c r="BI424">
        <v>11</v>
      </c>
      <c r="BJ424">
        <v>12</v>
      </c>
      <c r="BL424">
        <v>10</v>
      </c>
      <c r="BM424">
        <v>11</v>
      </c>
      <c r="BN424">
        <v>12</v>
      </c>
    </row>
    <row r="425" spans="9:66" x14ac:dyDescent="0.3">
      <c r="I425" t="s">
        <v>376</v>
      </c>
      <c r="O425" t="s">
        <v>5</v>
      </c>
      <c r="P425" s="15">
        <v>1</v>
      </c>
      <c r="Q425" s="15"/>
      <c r="S425" s="58" t="str">
        <f ca="1">I429</f>
        <v>Z</v>
      </c>
      <c r="T425" t="s">
        <v>379</v>
      </c>
      <c r="X425" t="s">
        <v>74</v>
      </c>
      <c r="Y425" s="19" t="e" cm="1">
        <f t="array" aca="1" ref="Y425" ca="1">INDEX(Datablad!$H$102:$BQ$113,Rekenblad!AB425,Rekenblad!AA425)</f>
        <v>#N/A</v>
      </c>
      <c r="AA425" t="e">
        <f ca="1">AF421+AF422-1</f>
        <v>#N/A</v>
      </c>
      <c r="AB425">
        <v>3</v>
      </c>
      <c r="AD425">
        <v>1</v>
      </c>
      <c r="AE425" s="15">
        <v>3</v>
      </c>
      <c r="AF425" s="15">
        <v>3</v>
      </c>
      <c r="AM425" t="s">
        <v>238</v>
      </c>
      <c r="AQ425" t="s">
        <v>74</v>
      </c>
      <c r="AR425" s="19" cm="1">
        <f t="array" aca="1" ref="AR425" ca="1">INDEX(Datablad!$H$123:$DU$134,Rekenblad!AU425,Rekenblad!AT425)</f>
        <v>0.49</v>
      </c>
      <c r="AT425">
        <f ca="1">$AX432+$AX430</f>
        <v>7</v>
      </c>
      <c r="AU425">
        <v>3</v>
      </c>
      <c r="AW425" t="s">
        <v>266</v>
      </c>
      <c r="AX425">
        <f>AY425+15</f>
        <v>83</v>
      </c>
      <c r="AY425">
        <f>AZ425+15</f>
        <v>68</v>
      </c>
      <c r="AZ425">
        <f>BA425+15</f>
        <v>53</v>
      </c>
      <c r="BA425">
        <f>BB425+15</f>
        <v>38</v>
      </c>
      <c r="BB425">
        <f>BC425+15</f>
        <v>23</v>
      </c>
      <c r="BC425">
        <f>BD425+8</f>
        <v>8</v>
      </c>
      <c r="BD425">
        <v>0</v>
      </c>
      <c r="BE425">
        <f>AX425+15</f>
        <v>98</v>
      </c>
      <c r="BF425">
        <f>BE425+15</f>
        <v>113</v>
      </c>
      <c r="BG425">
        <f>BF425+15</f>
        <v>128</v>
      </c>
      <c r="BH425">
        <f>BG425+15</f>
        <v>143</v>
      </c>
      <c r="BI425">
        <f>BH425+15</f>
        <v>158</v>
      </c>
      <c r="BJ425">
        <f>BI425+15</f>
        <v>173</v>
      </c>
      <c r="BL425">
        <f>BK425+15</f>
        <v>15</v>
      </c>
      <c r="BM425">
        <f>BL425+15</f>
        <v>30</v>
      </c>
      <c r="BN425">
        <f>BM425+15</f>
        <v>45</v>
      </c>
    </row>
    <row r="426" spans="9:66" x14ac:dyDescent="0.3">
      <c r="I426" s="14">
        <f ca="1">IF('Drop-down'!$BA$6="vul in",0,'Drop-down'!$BA$6)</f>
        <v>0</v>
      </c>
      <c r="O426" t="s">
        <v>6</v>
      </c>
      <c r="P426" s="15">
        <v>1</v>
      </c>
      <c r="Q426" s="15"/>
      <c r="X426" t="s">
        <v>75</v>
      </c>
      <c r="Y426" s="19" t="e" cm="1">
        <f t="array" aca="1" ref="Y426" ca="1">INDEX(Datablad!$H$102:$BQ$113,Rekenblad!AB426,Rekenblad!AA426)</f>
        <v>#N/A</v>
      </c>
      <c r="AA426" t="e">
        <f ca="1">AF421+AF422-1</f>
        <v>#N/A</v>
      </c>
      <c r="AB426">
        <v>4</v>
      </c>
      <c r="AD426">
        <v>1</v>
      </c>
      <c r="AE426" s="15">
        <v>4</v>
      </c>
      <c r="AF426" s="15">
        <v>5</v>
      </c>
      <c r="AL426" s="58" t="str">
        <f ca="1">I429</f>
        <v>Z</v>
      </c>
      <c r="AQ426" t="s">
        <v>75</v>
      </c>
      <c r="AR426" s="19" cm="1">
        <f t="array" aca="1" ref="AR426" ca="1">INDEX(Datablad!$H$123:$DU$134,Rekenblad!AU426,Rekenblad!AT426)</f>
        <v>0.36</v>
      </c>
      <c r="AT426">
        <f ca="1">$AX432+$AX430</f>
        <v>7</v>
      </c>
      <c r="AU426">
        <v>4</v>
      </c>
      <c r="AW426" t="s">
        <v>271</v>
      </c>
    </row>
    <row r="427" spans="9:66" x14ac:dyDescent="0.3">
      <c r="I427" t="s">
        <v>378</v>
      </c>
      <c r="O427" t="s">
        <v>7</v>
      </c>
      <c r="P427" s="15">
        <v>1</v>
      </c>
      <c r="Q427" s="15"/>
      <c r="X427" t="s">
        <v>76</v>
      </c>
      <c r="Y427" s="19" t="e" cm="1">
        <f t="array" aca="1" ref="Y427" ca="1">INDEX(Datablad!$H$102:$BQ$113,Rekenblad!AB427,Rekenblad!AA427)</f>
        <v>#N/A</v>
      </c>
      <c r="AA427" t="e">
        <f ca="1">AF421+AF422-1</f>
        <v>#N/A</v>
      </c>
      <c r="AB427">
        <v>5</v>
      </c>
      <c r="AD427">
        <v>2</v>
      </c>
      <c r="AE427" s="15">
        <v>2</v>
      </c>
      <c r="AF427" s="15">
        <v>2</v>
      </c>
      <c r="AQ427" t="s">
        <v>76</v>
      </c>
      <c r="AR427" s="19" cm="1">
        <f t="array" aca="1" ref="AR427" ca="1">INDEX(Datablad!$H$123:$DU$134,Rekenblad!AU427,Rekenblad!AT427)</f>
        <v>0.34</v>
      </c>
      <c r="AT427">
        <f ca="1">$AX432+$AX430</f>
        <v>7</v>
      </c>
      <c r="AU427">
        <v>5</v>
      </c>
      <c r="AW427" t="s">
        <v>248</v>
      </c>
      <c r="AX427">
        <f>BJ424</f>
        <v>12</v>
      </c>
      <c r="AY427">
        <f>BI424</f>
        <v>11</v>
      </c>
      <c r="AZ427">
        <f>BH424</f>
        <v>10</v>
      </c>
      <c r="BA427">
        <f>BG424</f>
        <v>9</v>
      </c>
      <c r="BB427">
        <f>BF424</f>
        <v>8</v>
      </c>
      <c r="BC427">
        <f>BE424</f>
        <v>7</v>
      </c>
      <c r="BD427">
        <f t="shared" ref="BD427:BD428" si="296">AX424</f>
        <v>0</v>
      </c>
      <c r="BE427">
        <f t="shared" ref="BE427:BE428" si="297">AY424</f>
        <v>1</v>
      </c>
      <c r="BF427">
        <f t="shared" ref="BF427:BF428" si="298">AZ424</f>
        <v>2</v>
      </c>
      <c r="BG427">
        <f t="shared" ref="BG427:BG428" si="299">BA424</f>
        <v>3</v>
      </c>
      <c r="BH427">
        <f t="shared" ref="BH427:BH428" si="300">BB424</f>
        <v>4</v>
      </c>
      <c r="BI427">
        <f t="shared" ref="BI427:BI428" si="301">BC424</f>
        <v>5</v>
      </c>
      <c r="BJ427">
        <f t="shared" ref="BJ427:BJ428" si="302">BD424</f>
        <v>6</v>
      </c>
      <c r="BL427">
        <f t="shared" ref="BL427:BL428" si="303">BF424</f>
        <v>8</v>
      </c>
      <c r="BM427">
        <f t="shared" ref="BM427:BM428" si="304">BG424</f>
        <v>9</v>
      </c>
      <c r="BN427">
        <f t="shared" ref="BN427:BN428" si="305">BH424</f>
        <v>10</v>
      </c>
    </row>
    <row r="428" spans="9:66" x14ac:dyDescent="0.3">
      <c r="I428" s="58" t="str">
        <f>M396</f>
        <v>ho</v>
      </c>
      <c r="O428" t="s">
        <v>8</v>
      </c>
      <c r="P428" s="15">
        <v>1</v>
      </c>
      <c r="Q428" s="15"/>
      <c r="X428" t="s">
        <v>77</v>
      </c>
      <c r="Y428" s="19" t="e" cm="1">
        <f t="array" aca="1" ref="Y428" ca="1">INDEX(Datablad!$H$102:$BQ$113,Rekenblad!AB428,Rekenblad!AA428)</f>
        <v>#N/A</v>
      </c>
      <c r="AA428" t="e">
        <f ca="1">AF421+AF422-1</f>
        <v>#N/A</v>
      </c>
      <c r="AB428">
        <v>6</v>
      </c>
      <c r="AD428">
        <v>2</v>
      </c>
      <c r="AE428" s="15">
        <v>3</v>
      </c>
      <c r="AF428" s="15">
        <v>4</v>
      </c>
      <c r="AQ428" t="s">
        <v>77</v>
      </c>
      <c r="AR428" s="19" cm="1">
        <f t="array" aca="1" ref="AR428" ca="1">INDEX(Datablad!$H$123:$DU$134,Rekenblad!AU428,Rekenblad!AT428)</f>
        <v>0.37</v>
      </c>
      <c r="AT428">
        <f ca="1">$AX432+$AX430</f>
        <v>7</v>
      </c>
      <c r="AU428">
        <v>6</v>
      </c>
      <c r="AW428" t="s">
        <v>268</v>
      </c>
      <c r="AX428">
        <f>BJ425</f>
        <v>173</v>
      </c>
      <c r="AY428">
        <f>BI425</f>
        <v>158</v>
      </c>
      <c r="AZ428">
        <f>BH425</f>
        <v>143</v>
      </c>
      <c r="BA428">
        <f>BG425</f>
        <v>128</v>
      </c>
      <c r="BB428">
        <f>BF425</f>
        <v>113</v>
      </c>
      <c r="BC428">
        <f>BE425</f>
        <v>98</v>
      </c>
      <c r="BD428">
        <f t="shared" si="296"/>
        <v>83</v>
      </c>
      <c r="BE428">
        <f t="shared" si="297"/>
        <v>68</v>
      </c>
      <c r="BF428">
        <f t="shared" si="298"/>
        <v>53</v>
      </c>
      <c r="BG428">
        <f t="shared" si="299"/>
        <v>38</v>
      </c>
      <c r="BH428">
        <f t="shared" si="300"/>
        <v>23</v>
      </c>
      <c r="BI428">
        <f t="shared" si="301"/>
        <v>8</v>
      </c>
      <c r="BJ428">
        <f t="shared" si="302"/>
        <v>0</v>
      </c>
      <c r="BL428">
        <f t="shared" si="303"/>
        <v>113</v>
      </c>
      <c r="BM428">
        <f t="shared" si="304"/>
        <v>128</v>
      </c>
      <c r="BN428">
        <f t="shared" si="305"/>
        <v>143</v>
      </c>
    </row>
    <row r="429" spans="9:66" x14ac:dyDescent="0.3">
      <c r="I429" t="str">
        <f ca="1">IF(I426&lt;15,"Z",IF(I428="ho","Z",I428))</f>
        <v>Z</v>
      </c>
      <c r="O429" t="s">
        <v>9</v>
      </c>
      <c r="P429" s="15">
        <v>1</v>
      </c>
      <c r="Q429" s="15"/>
      <c r="X429" t="s">
        <v>78</v>
      </c>
      <c r="Y429" s="19" t="e" cm="1">
        <f t="array" aca="1" ref="Y429" ca="1">INDEX(Datablad!$H$102:$BQ$113,Rekenblad!AB429,Rekenblad!AA429)</f>
        <v>#N/A</v>
      </c>
      <c r="AA429" t="e">
        <f ca="1">AF421+AF422-1</f>
        <v>#N/A</v>
      </c>
      <c r="AB429">
        <v>7</v>
      </c>
      <c r="AD429">
        <v>2</v>
      </c>
      <c r="AE429" s="15">
        <v>4</v>
      </c>
      <c r="AF429" s="15">
        <v>6</v>
      </c>
      <c r="AQ429" t="s">
        <v>78</v>
      </c>
      <c r="AR429" s="19" cm="1">
        <f t="array" aca="1" ref="AR429" ca="1">INDEX(Datablad!$H$123:$DU$134,Rekenblad!AU429,Rekenblad!AT429)</f>
        <v>0.41</v>
      </c>
      <c r="AT429">
        <f ca="1">$AX432+$AX430</f>
        <v>7</v>
      </c>
      <c r="AU429">
        <v>7</v>
      </c>
      <c r="AW429" t="s">
        <v>174</v>
      </c>
      <c r="AX429">
        <f ca="1">AL423</f>
        <v>0</v>
      </c>
    </row>
    <row r="430" spans="9:66" x14ac:dyDescent="0.3">
      <c r="I430" t="s">
        <v>371</v>
      </c>
      <c r="O430" t="s">
        <v>10</v>
      </c>
      <c r="P430" s="15">
        <v>1</v>
      </c>
      <c r="Q430" s="15"/>
      <c r="X430" t="s">
        <v>79</v>
      </c>
      <c r="Y430" s="19" t="e" cm="1">
        <f t="array" aca="1" ref="Y430" ca="1">INDEX(Datablad!$H$102:$BQ$113,Rekenblad!AB430,Rekenblad!AA430)</f>
        <v>#N/A</v>
      </c>
      <c r="AA430" t="e">
        <f ca="1">AF421+AF422-1</f>
        <v>#N/A</v>
      </c>
      <c r="AB430">
        <v>8</v>
      </c>
      <c r="AQ430" t="s">
        <v>79</v>
      </c>
      <c r="AR430" s="19" cm="1">
        <f t="array" aca="1" ref="AR430" ca="1">INDEX(Datablad!$H$123:$DU$134,Rekenblad!AU430,Rekenblad!AT430)</f>
        <v>0.37</v>
      </c>
      <c r="AT430">
        <f ca="1">$AX432+$AX430</f>
        <v>7</v>
      </c>
      <c r="AU430">
        <v>8</v>
      </c>
      <c r="AW430" t="s">
        <v>269</v>
      </c>
      <c r="AX430">
        <f ca="1">IF(AX429&gt;=AX428,AX427,IF(AX429&gt;=AY428,AY427,IF(AX429&gt;=AZ428,AZ427,IF(AX429&gt;=BA428,BA427,IF(AX429&gt;=BB428,BB427,IF(AX429&gt;=BC428,BC427,IF(AX429&gt;=BD428,BD427,IF(AX429&gt;=BE428,BE427,IF(AX429&gt;=BF428,BF427,IF(AX429&gt;=BG428,BG427,IF(AX429&gt;=BH428,BH427,IF(AX429&gt;=BI428,BI427,IF(AX429&gt;=BJ428,BJ427)))))))))))))</f>
        <v>6</v>
      </c>
    </row>
    <row r="431" spans="9:66" x14ac:dyDescent="0.3">
      <c r="O431" t="s">
        <v>11</v>
      </c>
      <c r="P431" s="15">
        <v>1</v>
      </c>
      <c r="Q431" s="15"/>
      <c r="X431" t="s">
        <v>80</v>
      </c>
      <c r="Y431" s="19" t="e" cm="1">
        <f t="array" aca="1" ref="Y431" ca="1">INDEX(Datablad!$H$102:$BQ$113,Rekenblad!AB431,Rekenblad!AA431)</f>
        <v>#N/A</v>
      </c>
      <c r="AA431" t="e">
        <f ca="1">AF421+AF422-1</f>
        <v>#N/A</v>
      </c>
      <c r="AB431">
        <v>9</v>
      </c>
      <c r="AQ431" t="s">
        <v>80</v>
      </c>
      <c r="AR431" s="19" cm="1">
        <f t="array" aca="1" ref="AR431" ca="1">INDEX(Datablad!$H$123:$DU$134,Rekenblad!AU431,Rekenblad!AT431)</f>
        <v>0.43</v>
      </c>
      <c r="AT431">
        <f ca="1">$AX432+$AX430</f>
        <v>7</v>
      </c>
      <c r="AU431">
        <v>9</v>
      </c>
    </row>
    <row r="432" spans="9:66" x14ac:dyDescent="0.3">
      <c r="O432" t="s">
        <v>12</v>
      </c>
      <c r="P432" s="15">
        <v>1</v>
      </c>
      <c r="Q432" s="15"/>
      <c r="X432" t="s">
        <v>81</v>
      </c>
      <c r="Y432" s="19" t="e" cm="1">
        <f t="array" aca="1" ref="Y432" ca="1">INDEX(Datablad!$H$102:$BQ$113,Rekenblad!AB432,Rekenblad!AA432)</f>
        <v>#N/A</v>
      </c>
      <c r="AA432" t="e">
        <f ca="1">AF421+AF422-1</f>
        <v>#N/A</v>
      </c>
      <c r="AB432">
        <v>10</v>
      </c>
      <c r="AQ432" t="s">
        <v>81</v>
      </c>
      <c r="AR432" s="19" cm="1">
        <f t="array" aca="1" ref="AR432" ca="1">INDEX(Datablad!$H$123:$DU$134,Rekenblad!AU432,Rekenblad!AT432)</f>
        <v>0.48</v>
      </c>
      <c r="AT432">
        <f ca="1">$AX432+$AX430</f>
        <v>7</v>
      </c>
      <c r="AU432">
        <v>10</v>
      </c>
      <c r="AX432">
        <f ca="1">HLOOKUP(AL426,Datablad!$H$115:$DU$116,2,FALSE)</f>
        <v>1</v>
      </c>
      <c r="AY432" t="s">
        <v>272</v>
      </c>
    </row>
    <row r="433" spans="9:51" x14ac:dyDescent="0.3">
      <c r="O433" t="s">
        <v>13</v>
      </c>
      <c r="P433" s="15">
        <v>1</v>
      </c>
      <c r="Q433" s="15"/>
      <c r="X433" t="s">
        <v>82</v>
      </c>
      <c r="Y433" s="19" t="e" cm="1">
        <f t="array" aca="1" ref="Y433" ca="1">INDEX(Datablad!$H$102:$BQ$113,Rekenblad!AB433,Rekenblad!AA433)</f>
        <v>#N/A</v>
      </c>
      <c r="AA433" t="e">
        <f ca="1">AF421+AF422-1</f>
        <v>#N/A</v>
      </c>
      <c r="AB433">
        <v>11</v>
      </c>
      <c r="AQ433" t="s">
        <v>82</v>
      </c>
      <c r="AR433" s="19" cm="1">
        <f t="array" aca="1" ref="AR433" ca="1">INDEX(Datablad!$H$123:$DU$134,Rekenblad!AU433,Rekenblad!AT433)</f>
        <v>0.56000000000000005</v>
      </c>
      <c r="AT433">
        <f ca="1">$AX432+$AX430</f>
        <v>7</v>
      </c>
      <c r="AU433">
        <v>11</v>
      </c>
      <c r="AY433" t="s">
        <v>273</v>
      </c>
    </row>
    <row r="434" spans="9:51" x14ac:dyDescent="0.3">
      <c r="O434" t="s">
        <v>14</v>
      </c>
      <c r="P434" s="15">
        <v>1</v>
      </c>
      <c r="Q434" s="15"/>
      <c r="X434" t="s">
        <v>83</v>
      </c>
      <c r="Y434" s="19" t="e" cm="1">
        <f t="array" aca="1" ref="Y434" ca="1">INDEX(Datablad!$H$102:$BQ$113,Rekenblad!AB434,Rekenblad!AA434)</f>
        <v>#N/A</v>
      </c>
      <c r="AA434" t="e">
        <f ca="1">AF421+AF422-1</f>
        <v>#N/A</v>
      </c>
      <c r="AB434">
        <v>12</v>
      </c>
      <c r="AQ434" t="s">
        <v>83</v>
      </c>
      <c r="AR434" s="19" cm="1">
        <f t="array" aca="1" ref="AR434" ca="1">INDEX(Datablad!$H$123:$DU$134,Rekenblad!AU434,Rekenblad!AT434)</f>
        <v>0.6</v>
      </c>
      <c r="AT434">
        <f ca="1">$AX432+$AX430</f>
        <v>7</v>
      </c>
      <c r="AU434">
        <v>12</v>
      </c>
      <c r="AY434" s="15"/>
    </row>
    <row r="435" spans="9:51" x14ac:dyDescent="0.3">
      <c r="T435" s="15"/>
      <c r="U435" s="15"/>
      <c r="V435" s="15"/>
      <c r="W435" s="15"/>
      <c r="X435" s="15"/>
      <c r="Y435" s="15"/>
      <c r="Z435" s="15"/>
      <c r="AA435" s="15"/>
      <c r="AB435" s="15"/>
    </row>
    <row r="437" spans="9:51" x14ac:dyDescent="0.3">
      <c r="I437" s="1" t="s">
        <v>242</v>
      </c>
      <c r="M437" t="str">
        <f t="shared" ref="M437" si="306">P415</f>
        <v>januari</v>
      </c>
      <c r="N437" t="str">
        <f t="shared" ref="N437:N438" si="307">Q415</f>
        <v>februari</v>
      </c>
      <c r="O437" t="str">
        <f t="shared" ref="O437:O438" si="308">R415</f>
        <v>maart</v>
      </c>
      <c r="P437" t="str">
        <f t="shared" ref="P437:P438" si="309">S415</f>
        <v>april</v>
      </c>
      <c r="Q437" t="str">
        <f t="shared" ref="Q437:Q438" si="310">T415</f>
        <v>mei</v>
      </c>
      <c r="R437" t="str">
        <f t="shared" ref="R437:R438" si="311">U415</f>
        <v>juni</v>
      </c>
      <c r="S437" t="str">
        <f t="shared" ref="S437:S438" si="312">V415</f>
        <v>juli</v>
      </c>
      <c r="T437" t="str">
        <f t="shared" ref="T437:T438" si="313">W415</f>
        <v>augustus</v>
      </c>
      <c r="U437" t="str">
        <f t="shared" ref="U437:U438" si="314">X415</f>
        <v>september</v>
      </c>
      <c r="V437" t="str">
        <f t="shared" ref="V437:V438" si="315">Y415</f>
        <v>oktober</v>
      </c>
      <c r="W437" t="str">
        <f t="shared" ref="W437:W438" si="316">Z415</f>
        <v>november</v>
      </c>
      <c r="X437" t="str">
        <f t="shared" ref="X437:X438" si="317">AA415</f>
        <v>december</v>
      </c>
    </row>
    <row r="438" spans="9:51" x14ac:dyDescent="0.3">
      <c r="I438" s="1"/>
      <c r="L438" t="s">
        <v>114</v>
      </c>
      <c r="M438">
        <f ca="1">P416</f>
        <v>0.55000000000000004</v>
      </c>
      <c r="N438">
        <f t="shared" ca="1" si="307"/>
        <v>0.57999999999999996</v>
      </c>
      <c r="O438">
        <f t="shared" ca="1" si="308"/>
        <v>0.49</v>
      </c>
      <c r="P438">
        <f t="shared" ca="1" si="309"/>
        <v>0.36</v>
      </c>
      <c r="Q438">
        <f t="shared" ca="1" si="310"/>
        <v>0.34</v>
      </c>
      <c r="R438">
        <f t="shared" ca="1" si="311"/>
        <v>0.37</v>
      </c>
      <c r="S438">
        <f t="shared" ca="1" si="312"/>
        <v>0.41</v>
      </c>
      <c r="T438">
        <f t="shared" ca="1" si="313"/>
        <v>0.37</v>
      </c>
      <c r="U438">
        <f t="shared" ca="1" si="314"/>
        <v>0.43</v>
      </c>
      <c r="V438">
        <f t="shared" ca="1" si="315"/>
        <v>0.48</v>
      </c>
      <c r="W438">
        <f t="shared" ca="1" si="316"/>
        <v>0.56000000000000005</v>
      </c>
      <c r="X438">
        <f t="shared" ca="1" si="317"/>
        <v>0.6</v>
      </c>
    </row>
    <row r="439" spans="9:51" x14ac:dyDescent="0.3">
      <c r="I439" s="1" t="s">
        <v>244</v>
      </c>
    </row>
    <row r="440" spans="9:51" x14ac:dyDescent="0.3">
      <c r="I440" s="4" t="s">
        <v>114</v>
      </c>
      <c r="J440" s="4" t="s">
        <v>243</v>
      </c>
      <c r="L440" t="s">
        <v>109</v>
      </c>
      <c r="M440" s="18">
        <f ca="1">IF(M438&lt;=0.8,$J$107,(VLOOKUP(M438,$I$87:$J$107,2,FALSE)))</f>
        <v>0.75</v>
      </c>
      <c r="N440" s="18">
        <f t="shared" ref="N440:X440" ca="1" si="318">IF(N438&lt;=0.8,$J$107,(VLOOKUP(N438,$I$87:$J$107,2,FALSE)))</f>
        <v>0.75</v>
      </c>
      <c r="O440" s="18">
        <f t="shared" ca="1" si="318"/>
        <v>0.75</v>
      </c>
      <c r="P440" s="18">
        <f t="shared" ca="1" si="318"/>
        <v>0.75</v>
      </c>
      <c r="Q440" s="18">
        <f t="shared" ca="1" si="318"/>
        <v>0.75</v>
      </c>
      <c r="R440" s="18">
        <f t="shared" ca="1" si="318"/>
        <v>0.75</v>
      </c>
      <c r="S440" s="18">
        <f t="shared" ca="1" si="318"/>
        <v>0.75</v>
      </c>
      <c r="T440" s="18">
        <f t="shared" ca="1" si="318"/>
        <v>0.75</v>
      </c>
      <c r="U440" s="18">
        <f t="shared" ca="1" si="318"/>
        <v>0.75</v>
      </c>
      <c r="V440" s="18">
        <f t="shared" ca="1" si="318"/>
        <v>0.75</v>
      </c>
      <c r="W440" s="18">
        <f t="shared" ca="1" si="318"/>
        <v>0.75</v>
      </c>
      <c r="X440" s="18">
        <f t="shared" ca="1" si="318"/>
        <v>0.75</v>
      </c>
    </row>
    <row r="441" spans="9:51" x14ac:dyDescent="0.3">
      <c r="I441" s="4">
        <v>1</v>
      </c>
      <c r="J441" s="4">
        <v>1</v>
      </c>
    </row>
    <row r="442" spans="9:51" x14ac:dyDescent="0.3">
      <c r="I442" s="4">
        <v>0.99</v>
      </c>
      <c r="J442" s="4">
        <v>0.99</v>
      </c>
    </row>
    <row r="443" spans="9:51" x14ac:dyDescent="0.3">
      <c r="I443" s="4">
        <v>0.98</v>
      </c>
      <c r="J443" s="4">
        <v>0.98</v>
      </c>
    </row>
    <row r="444" spans="9:51" x14ac:dyDescent="0.3">
      <c r="I444" s="4">
        <v>0.97</v>
      </c>
      <c r="J444" s="4">
        <v>0.97</v>
      </c>
    </row>
    <row r="445" spans="9:51" x14ac:dyDescent="0.3">
      <c r="I445" s="4">
        <v>0.96</v>
      </c>
      <c r="J445" s="4">
        <v>0.96</v>
      </c>
    </row>
    <row r="446" spans="9:51" x14ac:dyDescent="0.3">
      <c r="I446" s="4">
        <v>0.95</v>
      </c>
      <c r="J446" s="4">
        <v>0.95</v>
      </c>
    </row>
    <row r="447" spans="9:51" x14ac:dyDescent="0.3">
      <c r="I447" s="4">
        <v>0.94</v>
      </c>
      <c r="J447" s="4">
        <f>0.89+4/5*0.06</f>
        <v>0.93800000000000006</v>
      </c>
    </row>
    <row r="448" spans="9:51" x14ac:dyDescent="0.3">
      <c r="I448" s="4">
        <v>0.93</v>
      </c>
      <c r="J448" s="4">
        <f>0.89+3/5*0.06</f>
        <v>0.92600000000000005</v>
      </c>
    </row>
    <row r="449" spans="2:64" x14ac:dyDescent="0.3">
      <c r="F449" s="15"/>
      <c r="G449" s="15"/>
      <c r="I449" s="4">
        <v>0.92</v>
      </c>
      <c r="J449" s="4">
        <f>0.89+2/5*0.06</f>
        <v>0.91400000000000003</v>
      </c>
    </row>
    <row r="450" spans="2:64" x14ac:dyDescent="0.3">
      <c r="I450" s="4">
        <v>0.91</v>
      </c>
      <c r="J450" s="4">
        <f>0.89+1/5*0.06</f>
        <v>0.90200000000000002</v>
      </c>
    </row>
    <row r="451" spans="2:64" x14ac:dyDescent="0.3">
      <c r="I451" s="4">
        <v>0.9</v>
      </c>
      <c r="J451" s="4">
        <v>0.89</v>
      </c>
    </row>
    <row r="452" spans="2:64" x14ac:dyDescent="0.3">
      <c r="I452" s="4">
        <v>0.89</v>
      </c>
      <c r="J452" s="4">
        <f>0.82+4/5*0.07</f>
        <v>0.876</v>
      </c>
    </row>
    <row r="453" spans="2:64" x14ac:dyDescent="0.3">
      <c r="I453" s="4">
        <v>0.88</v>
      </c>
      <c r="J453" s="4">
        <f>0.82+3/5*0.07</f>
        <v>0.86199999999999999</v>
      </c>
    </row>
    <row r="454" spans="2:64" x14ac:dyDescent="0.3">
      <c r="I454" s="4">
        <v>0.87</v>
      </c>
      <c r="J454" s="4">
        <f>0.82+2/5*0.07</f>
        <v>0.84799999999999998</v>
      </c>
    </row>
    <row r="455" spans="2:64" x14ac:dyDescent="0.3">
      <c r="I455" s="4">
        <v>0.86</v>
      </c>
      <c r="J455" s="4">
        <f>0.82+1/5*0.07</f>
        <v>0.83399999999999996</v>
      </c>
    </row>
    <row r="456" spans="2:64" x14ac:dyDescent="0.3">
      <c r="I456" s="4">
        <v>0.85</v>
      </c>
      <c r="J456" s="4">
        <v>0.82</v>
      </c>
    </row>
    <row r="457" spans="2:64" x14ac:dyDescent="0.3">
      <c r="I457" s="4">
        <v>0.84</v>
      </c>
      <c r="J457" s="4">
        <f>0.75+4/5*0.07</f>
        <v>0.80600000000000005</v>
      </c>
    </row>
    <row r="458" spans="2:64" x14ac:dyDescent="0.3">
      <c r="I458" s="4">
        <v>0.83</v>
      </c>
      <c r="J458" s="4">
        <f>0.75+3/5*0.07</f>
        <v>0.79200000000000004</v>
      </c>
    </row>
    <row r="459" spans="2:64" x14ac:dyDescent="0.3">
      <c r="I459" s="4">
        <v>0.82</v>
      </c>
      <c r="J459" s="4">
        <f>0.75+2/5*0.07</f>
        <v>0.77800000000000002</v>
      </c>
    </row>
    <row r="460" spans="2:64" x14ac:dyDescent="0.3">
      <c r="I460" s="4">
        <v>0.81</v>
      </c>
      <c r="J460" s="4">
        <f>0.75+1/5*0.07</f>
        <v>0.76400000000000001</v>
      </c>
    </row>
    <row r="461" spans="2:64" x14ac:dyDescent="0.3">
      <c r="I461" s="4">
        <v>0.8</v>
      </c>
      <c r="J461" s="4">
        <v>0.75</v>
      </c>
    </row>
    <row r="464" spans="2:64" x14ac:dyDescent="0.3">
      <c r="B464" s="29" t="s">
        <v>104</v>
      </c>
      <c r="D464" s="1" t="s">
        <v>2</v>
      </c>
      <c r="E464" s="1" t="s">
        <v>3</v>
      </c>
      <c r="F464" s="1" t="s">
        <v>4</v>
      </c>
      <c r="G464" s="1" t="s">
        <v>5</v>
      </c>
      <c r="H464" s="1" t="s">
        <v>6</v>
      </c>
      <c r="I464" s="1" t="s">
        <v>7</v>
      </c>
      <c r="J464" s="1" t="s">
        <v>8</v>
      </c>
      <c r="K464" s="1" t="s">
        <v>9</v>
      </c>
      <c r="L464" s="1" t="s">
        <v>10</v>
      </c>
      <c r="M464" s="1" t="s">
        <v>11</v>
      </c>
      <c r="N464" s="1" t="s">
        <v>12</v>
      </c>
      <c r="O464" s="1" t="s">
        <v>13</v>
      </c>
      <c r="P464" s="1" t="s">
        <v>14</v>
      </c>
      <c r="BL464" t="s">
        <v>60</v>
      </c>
    </row>
    <row r="465" spans="3:64" x14ac:dyDescent="0.3">
      <c r="C465" t="s">
        <v>98</v>
      </c>
      <c r="D465">
        <f ca="1">SUM(E465:P465)</f>
        <v>0</v>
      </c>
      <c r="E465">
        <f ca="1">(E466*E467*E471*E473*E474)/E475</f>
        <v>0</v>
      </c>
      <c r="F465">
        <f t="shared" ref="F465:P465" ca="1" si="319">(F466*F467*F471*F473*F474)/F475</f>
        <v>0</v>
      </c>
      <c r="G465">
        <f t="shared" ca="1" si="319"/>
        <v>0</v>
      </c>
      <c r="H465">
        <f t="shared" ca="1" si="319"/>
        <v>0</v>
      </c>
      <c r="I465">
        <f t="shared" ca="1" si="319"/>
        <v>0</v>
      </c>
      <c r="J465">
        <f t="shared" ca="1" si="319"/>
        <v>0</v>
      </c>
      <c r="K465">
        <f t="shared" ca="1" si="319"/>
        <v>0</v>
      </c>
      <c r="L465">
        <f t="shared" ca="1" si="319"/>
        <v>0</v>
      </c>
      <c r="M465">
        <f t="shared" ca="1" si="319"/>
        <v>0</v>
      </c>
      <c r="N465">
        <f t="shared" ca="1" si="319"/>
        <v>0</v>
      </c>
      <c r="O465">
        <f t="shared" ca="1" si="319"/>
        <v>0</v>
      </c>
      <c r="P465">
        <f t="shared" ca="1" si="319"/>
        <v>0</v>
      </c>
      <c r="Q465" t="s">
        <v>278</v>
      </c>
    </row>
    <row r="466" spans="3:64" x14ac:dyDescent="0.3">
      <c r="C466" t="s">
        <v>106</v>
      </c>
      <c r="E466">
        <f ca="1">E476*E477*E478/1000</f>
        <v>11.457600000000001</v>
      </c>
      <c r="F466">
        <f t="shared" ref="F466:P466" ca="1" si="320">F476*F477*F478/1000</f>
        <v>19.215167999999998</v>
      </c>
      <c r="G466">
        <f t="shared" ca="1" si="320"/>
        <v>35.216495999999999</v>
      </c>
      <c r="H466">
        <f t="shared" ca="1" si="320"/>
        <v>41.601599999999998</v>
      </c>
      <c r="I466">
        <f t="shared" ca="1" si="320"/>
        <v>49.833120000000001</v>
      </c>
      <c r="J466">
        <f t="shared" ca="1" si="320"/>
        <v>55.75752</v>
      </c>
      <c r="K466">
        <f t="shared" ca="1" si="320"/>
        <v>58.262639999999998</v>
      </c>
      <c r="L466">
        <f t="shared" ca="1" si="320"/>
        <v>48.779615999999997</v>
      </c>
      <c r="M466">
        <f t="shared" ca="1" si="320"/>
        <v>38.359439999999999</v>
      </c>
      <c r="N466">
        <f t="shared" ca="1" si="320"/>
        <v>26.141184000000003</v>
      </c>
      <c r="O466">
        <f t="shared" ca="1" si="320"/>
        <v>13.829759999999998</v>
      </c>
      <c r="P466">
        <f t="shared" ca="1" si="320"/>
        <v>9.3743999999999996</v>
      </c>
      <c r="Q466" t="s">
        <v>277</v>
      </c>
    </row>
    <row r="467" spans="3:64" x14ac:dyDescent="0.3">
      <c r="C467" t="s">
        <v>107</v>
      </c>
      <c r="D467" s="60">
        <f>IF(OR('Drop-down'!$AU$7="nvt",'Drop-down'!$AU$7="nog te berekenen"),0,'Drop-down'!$AU$7/1000)</f>
        <v>0</v>
      </c>
      <c r="E467" s="28">
        <f>$D467</f>
        <v>0</v>
      </c>
      <c r="F467" s="28">
        <f t="shared" ref="F467:P467" si="321">$D467</f>
        <v>0</v>
      </c>
      <c r="G467" s="28">
        <f t="shared" si="321"/>
        <v>0</v>
      </c>
      <c r="H467" s="28">
        <f>$D467</f>
        <v>0</v>
      </c>
      <c r="I467" s="28">
        <f t="shared" si="321"/>
        <v>0</v>
      </c>
      <c r="J467" s="28">
        <f t="shared" si="321"/>
        <v>0</v>
      </c>
      <c r="K467" s="28">
        <f t="shared" si="321"/>
        <v>0</v>
      </c>
      <c r="L467" s="28">
        <f t="shared" si="321"/>
        <v>0</v>
      </c>
      <c r="M467" s="28">
        <f t="shared" si="321"/>
        <v>0</v>
      </c>
      <c r="N467" s="28">
        <f t="shared" si="321"/>
        <v>0</v>
      </c>
      <c r="O467" s="28">
        <f t="shared" si="321"/>
        <v>0</v>
      </c>
      <c r="P467" s="28">
        <f t="shared" si="321"/>
        <v>0</v>
      </c>
      <c r="Q467" t="s">
        <v>337</v>
      </c>
      <c r="BL467" t="s">
        <v>59</v>
      </c>
    </row>
    <row r="468" spans="3:64" x14ac:dyDescent="0.3">
      <c r="C468" s="27" t="s">
        <v>116</v>
      </c>
      <c r="Q468" t="s">
        <v>276</v>
      </c>
    </row>
    <row r="469" spans="3:64" x14ac:dyDescent="0.3">
      <c r="C469" s="27" t="s">
        <v>117</v>
      </c>
      <c r="Q469" t="s">
        <v>18</v>
      </c>
      <c r="BL469" t="s">
        <v>61</v>
      </c>
    </row>
    <row r="470" spans="3:64" x14ac:dyDescent="0.3">
      <c r="C470" s="27" t="s">
        <v>115</v>
      </c>
      <c r="Q470" t="s">
        <v>275</v>
      </c>
    </row>
    <row r="471" spans="3:64" x14ac:dyDescent="0.3">
      <c r="C471" t="s">
        <v>108</v>
      </c>
      <c r="D471" s="14" cm="1">
        <f t="array" ref="D471">IF('Drop-down'!$BD$7=0,0,IF('Drop-down'!$BD$7="nvt",0,INDEX(Datablad!$C$26:$E$29,'Drop-down'!$BD$7,3)))</f>
        <v>0</v>
      </c>
      <c r="E471">
        <f>$D471</f>
        <v>0</v>
      </c>
      <c r="F471">
        <f t="shared" ref="F471:O471" si="322">$D471</f>
        <v>0</v>
      </c>
      <c r="G471">
        <f t="shared" si="322"/>
        <v>0</v>
      </c>
      <c r="H471">
        <f>$D471</f>
        <v>0</v>
      </c>
      <c r="I471">
        <f t="shared" si="322"/>
        <v>0</v>
      </c>
      <c r="J471">
        <f t="shared" si="322"/>
        <v>0</v>
      </c>
      <c r="K471">
        <f t="shared" si="322"/>
        <v>0</v>
      </c>
      <c r="L471">
        <f t="shared" si="322"/>
        <v>0</v>
      </c>
      <c r="M471">
        <f t="shared" si="322"/>
        <v>0</v>
      </c>
      <c r="N471">
        <f t="shared" si="322"/>
        <v>0</v>
      </c>
      <c r="O471">
        <f t="shared" si="322"/>
        <v>0</v>
      </c>
      <c r="P471">
        <f>$D471</f>
        <v>0</v>
      </c>
      <c r="Q471" t="s">
        <v>112</v>
      </c>
      <c r="BL471" t="s">
        <v>62</v>
      </c>
    </row>
    <row r="472" spans="3:64" x14ac:dyDescent="0.3">
      <c r="C472" t="s">
        <v>118</v>
      </c>
      <c r="D472" s="14" t="str">
        <f>'Drop-down'!$BD$7</f>
        <v>nvt</v>
      </c>
      <c r="Q472" t="s">
        <v>274</v>
      </c>
    </row>
    <row r="473" spans="3:64" x14ac:dyDescent="0.3">
      <c r="C473" t="s">
        <v>109</v>
      </c>
      <c r="E473">
        <f ca="1">M529</f>
        <v>0.75</v>
      </c>
      <c r="F473">
        <f ca="1">N529</f>
        <v>0.75</v>
      </c>
      <c r="G473">
        <f t="shared" ref="G473" ca="1" si="323">O529</f>
        <v>0.75</v>
      </c>
      <c r="H473">
        <f t="shared" ref="H473" ca="1" si="324">P529</f>
        <v>0.75</v>
      </c>
      <c r="I473">
        <f t="shared" ref="I473" ca="1" si="325">Q529</f>
        <v>0.75</v>
      </c>
      <c r="J473">
        <f t="shared" ref="J473" ca="1" si="326">R529</f>
        <v>0.75</v>
      </c>
      <c r="K473">
        <f t="shared" ref="K473" ca="1" si="327">S529</f>
        <v>0.75</v>
      </c>
      <c r="L473">
        <f t="shared" ref="L473" ca="1" si="328">T529</f>
        <v>0.75</v>
      </c>
      <c r="M473">
        <f t="shared" ref="M473" ca="1" si="329">U529</f>
        <v>0.75</v>
      </c>
      <c r="N473">
        <f t="shared" ref="N473" ca="1" si="330">V529</f>
        <v>0.75</v>
      </c>
      <c r="O473">
        <f t="shared" ref="O473" ca="1" si="331">W529</f>
        <v>0.75</v>
      </c>
      <c r="P473">
        <f t="shared" ref="P473" ca="1" si="332">X529</f>
        <v>0.75</v>
      </c>
      <c r="Q473" t="s">
        <v>194</v>
      </c>
      <c r="BL473" t="s">
        <v>57</v>
      </c>
    </row>
    <row r="474" spans="3:64" x14ac:dyDescent="0.3">
      <c r="C474" t="s">
        <v>110</v>
      </c>
      <c r="E474">
        <f>Datablad!$E$47</f>
        <v>0.95</v>
      </c>
      <c r="F474">
        <f>Datablad!$E$47</f>
        <v>0.95</v>
      </c>
      <c r="G474">
        <f>Datablad!$E$47</f>
        <v>0.95</v>
      </c>
      <c r="H474">
        <f>Datablad!$E$47</f>
        <v>0.95</v>
      </c>
      <c r="I474">
        <f>Datablad!$E$47</f>
        <v>0.95</v>
      </c>
      <c r="J474">
        <f>Datablad!$E$47</f>
        <v>0.95</v>
      </c>
      <c r="K474">
        <f>Datablad!$E$47</f>
        <v>0.95</v>
      </c>
      <c r="L474">
        <f>Datablad!$E$47</f>
        <v>0.95</v>
      </c>
      <c r="M474">
        <f>Datablad!$E$47</f>
        <v>0.95</v>
      </c>
      <c r="N474">
        <f>Datablad!$E$47</f>
        <v>0.95</v>
      </c>
      <c r="O474">
        <f>Datablad!$E$47</f>
        <v>0.95</v>
      </c>
      <c r="P474">
        <f>Datablad!$E$47</f>
        <v>0.95</v>
      </c>
      <c r="Q474" t="s">
        <v>304</v>
      </c>
    </row>
    <row r="475" spans="3:64" x14ac:dyDescent="0.3">
      <c r="C475" t="s">
        <v>111</v>
      </c>
      <c r="E475">
        <f>Datablad!$E$33</f>
        <v>1</v>
      </c>
      <c r="F475">
        <f>Datablad!$E$33</f>
        <v>1</v>
      </c>
      <c r="G475">
        <f>Datablad!$E$33</f>
        <v>1</v>
      </c>
      <c r="H475">
        <f>Datablad!$E$33</f>
        <v>1</v>
      </c>
      <c r="I475">
        <f>Datablad!$E$33</f>
        <v>1</v>
      </c>
      <c r="J475">
        <f>Datablad!$E$33</f>
        <v>1</v>
      </c>
      <c r="K475">
        <f>Datablad!$E$33</f>
        <v>1</v>
      </c>
      <c r="L475">
        <f>Datablad!$E$33</f>
        <v>1</v>
      </c>
      <c r="M475">
        <f>Datablad!$E$33</f>
        <v>1</v>
      </c>
      <c r="N475">
        <f>Datablad!$E$33</f>
        <v>1</v>
      </c>
      <c r="O475">
        <f>Datablad!$E$33</f>
        <v>1</v>
      </c>
      <c r="P475">
        <f>Datablad!$E$33</f>
        <v>1</v>
      </c>
      <c r="Q475" t="s">
        <v>193</v>
      </c>
    </row>
    <row r="476" spans="3:64" x14ac:dyDescent="0.3">
      <c r="C476" t="s">
        <v>113</v>
      </c>
      <c r="E476">
        <f ca="1">AW478</f>
        <v>28</v>
      </c>
      <c r="F476">
        <f t="shared" ref="F476" ca="1" si="333">AX478</f>
        <v>49.3</v>
      </c>
      <c r="G476">
        <f t="shared" ref="G476" ca="1" si="334">AY478</f>
        <v>96.6</v>
      </c>
      <c r="H476">
        <f t="shared" ref="H476" ca="1" si="335">AZ478</f>
        <v>160.5</v>
      </c>
      <c r="I476">
        <f t="shared" ref="I476" ca="1" si="336">BA478</f>
        <v>197</v>
      </c>
      <c r="J476">
        <f t="shared" ref="J476" ca="1" si="337">BB478</f>
        <v>209.3</v>
      </c>
      <c r="K476">
        <f t="shared" ref="K476" ca="1" si="338">BC478</f>
        <v>191</v>
      </c>
      <c r="L476">
        <f t="shared" ref="L476" ca="1" si="339">BD478</f>
        <v>177.2</v>
      </c>
      <c r="M476">
        <f t="shared" ref="M476" ca="1" si="340">BE478</f>
        <v>123.9</v>
      </c>
      <c r="N476">
        <f t="shared" ref="N476" ca="1" si="341">BF478</f>
        <v>73.2</v>
      </c>
      <c r="O476">
        <f t="shared" ref="O476" ca="1" si="342">BG478</f>
        <v>34.299999999999997</v>
      </c>
      <c r="P476">
        <f t="shared" ref="P476" ca="1" si="343">BH478</f>
        <v>21</v>
      </c>
      <c r="Q476" t="s">
        <v>139</v>
      </c>
    </row>
    <row r="477" spans="3:64" x14ac:dyDescent="0.3">
      <c r="C477" t="s">
        <v>84</v>
      </c>
      <c r="D477">
        <f>Datablad!$E$65</f>
        <v>8760</v>
      </c>
      <c r="E477">
        <f>Datablad!$E$53</f>
        <v>744</v>
      </c>
      <c r="F477">
        <f>Datablad!$E$54</f>
        <v>672</v>
      </c>
      <c r="G477">
        <f>Datablad!$E$55</f>
        <v>744</v>
      </c>
      <c r="H477">
        <f>Datablad!$E$56</f>
        <v>720</v>
      </c>
      <c r="I477">
        <f>Datablad!$E$57</f>
        <v>744</v>
      </c>
      <c r="J477">
        <f>Datablad!$E$58</f>
        <v>720</v>
      </c>
      <c r="K477">
        <f>Datablad!$E$59</f>
        <v>744</v>
      </c>
      <c r="L477">
        <f>Datablad!$E$60</f>
        <v>744</v>
      </c>
      <c r="M477">
        <f>Datablad!$E$61</f>
        <v>720</v>
      </c>
      <c r="N477">
        <f>Datablad!$E$62</f>
        <v>744</v>
      </c>
      <c r="O477">
        <f>Datablad!$E$63</f>
        <v>720</v>
      </c>
      <c r="P477">
        <f>Datablad!$E$64</f>
        <v>744</v>
      </c>
      <c r="Q477" t="s">
        <v>192</v>
      </c>
    </row>
    <row r="478" spans="3:64" x14ac:dyDescent="0.3">
      <c r="C478" t="s">
        <v>114</v>
      </c>
      <c r="E478">
        <f ca="1">P505</f>
        <v>0.55000000000000004</v>
      </c>
      <c r="F478">
        <f t="shared" ref="F478" ca="1" si="344">Q505</f>
        <v>0.57999999999999996</v>
      </c>
      <c r="G478">
        <f t="shared" ref="G478" ca="1" si="345">R505</f>
        <v>0.49</v>
      </c>
      <c r="H478">
        <f t="shared" ref="H478" ca="1" si="346">S505</f>
        <v>0.36</v>
      </c>
      <c r="I478">
        <f t="shared" ref="I478" ca="1" si="347">T505</f>
        <v>0.34</v>
      </c>
      <c r="J478">
        <f t="shared" ref="J478" ca="1" si="348">U505</f>
        <v>0.37</v>
      </c>
      <c r="K478">
        <f t="shared" ref="K478" ca="1" si="349">V505</f>
        <v>0.41</v>
      </c>
      <c r="L478">
        <f t="shared" ref="L478" ca="1" si="350">W505</f>
        <v>0.37</v>
      </c>
      <c r="M478">
        <f t="shared" ref="M478" ca="1" si="351">X505</f>
        <v>0.43</v>
      </c>
      <c r="N478">
        <f t="shared" ref="N478" ca="1" si="352">Y505</f>
        <v>0.48</v>
      </c>
      <c r="O478">
        <f t="shared" ref="O478" ca="1" si="353">Z505</f>
        <v>0.56000000000000005</v>
      </c>
      <c r="P478">
        <f t="shared" ref="P478" ca="1" si="354">AA505</f>
        <v>0.6</v>
      </c>
      <c r="Q478" t="s">
        <v>195</v>
      </c>
      <c r="AU478" t="s">
        <v>191</v>
      </c>
      <c r="AV478">
        <f ca="1">IF(N483&lt;30,1,IF(N483&lt;45,2,IF(N483&lt;60,3,IF(N483&lt;90,4,IF(N483&lt;135,5,IF(N483=180,7,6))))))</f>
        <v>1</v>
      </c>
      <c r="AW478" s="18">
        <f ca="1">VLOOKUP(AV478,AV483:BH489,AW480+1,FALSE)</f>
        <v>28</v>
      </c>
      <c r="AX478" s="18">
        <f ca="1">VLOOKUP(AV478,AV483:BH489,AX480+1,FALSE)</f>
        <v>49.3</v>
      </c>
      <c r="AY478" s="18">
        <f ca="1">VLOOKUP(AV478,AV483:BH489,AY480+1,FALSE)</f>
        <v>96.6</v>
      </c>
      <c r="AZ478" s="18">
        <f ca="1">VLOOKUP(AV478,AV483:BH489,AZ480+1,FALSE)</f>
        <v>160.5</v>
      </c>
      <c r="BA478" s="18">
        <f ca="1">VLOOKUP(AV478,AV483:BH489,BA480+1,FALSE)</f>
        <v>197</v>
      </c>
      <c r="BB478" s="18">
        <f ca="1">VLOOKUP(AV478,AV483:BH489,BB480+1,FALSE)</f>
        <v>209.3</v>
      </c>
      <c r="BC478" s="18">
        <f ca="1">VLOOKUP(AV478,AV483:BH489,BC480+1,FALSE)</f>
        <v>191</v>
      </c>
      <c r="BD478" s="18">
        <f ca="1">VLOOKUP(AV478,AV483:BH489,BD480+1,FALSE)</f>
        <v>177.2</v>
      </c>
      <c r="BE478" s="18">
        <f ca="1">VLOOKUP(AV478,AV483:BH489,BE480+1,FALSE)</f>
        <v>123.9</v>
      </c>
      <c r="BF478" s="18">
        <f ca="1">VLOOKUP(AV478,AV483:BH489,BF480+1,FALSE)</f>
        <v>73.2</v>
      </c>
      <c r="BG478" s="18">
        <f ca="1">VLOOKUP(AV478,AV483:BH489,BG480+1,FALSE)</f>
        <v>34.299999999999997</v>
      </c>
      <c r="BH478" s="18">
        <f ca="1">VLOOKUP(AV478,AV483:BH489,BH480+1,FALSE)</f>
        <v>21</v>
      </c>
    </row>
    <row r="479" spans="3:64" x14ac:dyDescent="0.3">
      <c r="I479" s="1" t="s">
        <v>229</v>
      </c>
      <c r="W479" s="4" t="s">
        <v>188</v>
      </c>
      <c r="AJ479" s="4" t="s">
        <v>189</v>
      </c>
      <c r="AW479" s="4" t="s">
        <v>190</v>
      </c>
    </row>
    <row r="480" spans="3:64" x14ac:dyDescent="0.3">
      <c r="W480" s="4">
        <v>1</v>
      </c>
      <c r="X480" s="4">
        <v>2</v>
      </c>
      <c r="Y480" s="4">
        <v>3</v>
      </c>
      <c r="Z480" s="4">
        <v>4</v>
      </c>
      <c r="AA480" s="4">
        <v>5</v>
      </c>
      <c r="AB480" s="4">
        <v>6</v>
      </c>
      <c r="AC480" s="4">
        <v>7</v>
      </c>
      <c r="AD480" s="4">
        <v>8</v>
      </c>
      <c r="AE480" s="4">
        <v>9</v>
      </c>
      <c r="AF480" s="4">
        <v>10</v>
      </c>
      <c r="AG480" s="4">
        <v>11</v>
      </c>
      <c r="AH480" s="4">
        <v>12</v>
      </c>
      <c r="AI480" s="10"/>
      <c r="AJ480" s="4">
        <v>1</v>
      </c>
      <c r="AK480" s="4">
        <v>2</v>
      </c>
      <c r="AL480" s="4">
        <v>3</v>
      </c>
      <c r="AM480" s="4">
        <v>4</v>
      </c>
      <c r="AN480" s="4">
        <v>5</v>
      </c>
      <c r="AO480" s="4">
        <v>6</v>
      </c>
      <c r="AP480" s="4">
        <v>7</v>
      </c>
      <c r="AQ480" s="4">
        <v>8</v>
      </c>
      <c r="AR480" s="4">
        <v>9</v>
      </c>
      <c r="AS480" s="4">
        <v>10</v>
      </c>
      <c r="AT480" s="4">
        <v>11</v>
      </c>
      <c r="AU480" s="4">
        <v>12</v>
      </c>
      <c r="AW480" s="4">
        <v>1</v>
      </c>
      <c r="AX480" s="4">
        <v>2</v>
      </c>
      <c r="AY480" s="4">
        <v>3</v>
      </c>
      <c r="AZ480" s="4">
        <v>4</v>
      </c>
      <c r="BA480" s="4">
        <v>5</v>
      </c>
      <c r="BB480" s="4">
        <v>6</v>
      </c>
      <c r="BC480" s="4">
        <v>7</v>
      </c>
      <c r="BD480" s="4">
        <v>8</v>
      </c>
      <c r="BE480" s="4">
        <v>9</v>
      </c>
      <c r="BF480" s="4">
        <v>10</v>
      </c>
      <c r="BG480" s="4">
        <v>11</v>
      </c>
      <c r="BH480" s="4">
        <v>12</v>
      </c>
    </row>
    <row r="481" spans="9:64" x14ac:dyDescent="0.3">
      <c r="L481" t="s">
        <v>366</v>
      </c>
      <c r="M481" t="s">
        <v>142</v>
      </c>
      <c r="N481" t="s">
        <v>174</v>
      </c>
      <c r="Q481" t="s">
        <v>173</v>
      </c>
      <c r="W481" s="12" t="s">
        <v>3</v>
      </c>
      <c r="X481" s="12" t="s">
        <v>4</v>
      </c>
      <c r="Y481" s="12" t="s">
        <v>5</v>
      </c>
      <c r="Z481" s="12" t="s">
        <v>6</v>
      </c>
      <c r="AA481" s="12" t="s">
        <v>7</v>
      </c>
      <c r="AB481" s="12" t="s">
        <v>8</v>
      </c>
      <c r="AC481" s="12" t="s">
        <v>9</v>
      </c>
      <c r="AD481" s="12" t="s">
        <v>10</v>
      </c>
      <c r="AE481" s="12" t="s">
        <v>11</v>
      </c>
      <c r="AF481" s="12" t="s">
        <v>12</v>
      </c>
      <c r="AG481" s="12" t="s">
        <v>13</v>
      </c>
      <c r="AH481" s="12" t="s">
        <v>14</v>
      </c>
      <c r="AI481" s="13"/>
      <c r="AJ481" s="12" t="s">
        <v>3</v>
      </c>
      <c r="AK481" s="12" t="s">
        <v>4</v>
      </c>
      <c r="AL481" s="12" t="s">
        <v>5</v>
      </c>
      <c r="AM481" s="12" t="s">
        <v>6</v>
      </c>
      <c r="AN481" s="12" t="s">
        <v>7</v>
      </c>
      <c r="AO481" s="12" t="s">
        <v>8</v>
      </c>
      <c r="AP481" s="12" t="s">
        <v>9</v>
      </c>
      <c r="AQ481" s="12" t="s">
        <v>10</v>
      </c>
      <c r="AR481" s="12" t="s">
        <v>11</v>
      </c>
      <c r="AS481" s="12" t="s">
        <v>12</v>
      </c>
      <c r="AT481" s="12" t="s">
        <v>13</v>
      </c>
      <c r="AU481" s="12" t="s">
        <v>14</v>
      </c>
      <c r="AW481" s="12" t="s">
        <v>3</v>
      </c>
      <c r="AX481" s="12" t="s">
        <v>4</v>
      </c>
      <c r="AY481" s="12" t="s">
        <v>5</v>
      </c>
      <c r="AZ481" s="12" t="s">
        <v>6</v>
      </c>
      <c r="BA481" s="12" t="s">
        <v>7</v>
      </c>
      <c r="BB481" s="12" t="s">
        <v>8</v>
      </c>
      <c r="BC481" s="12" t="s">
        <v>9</v>
      </c>
      <c r="BD481" s="12" t="s">
        <v>10</v>
      </c>
      <c r="BE481" s="12" t="s">
        <v>11</v>
      </c>
      <c r="BF481" s="12" t="s">
        <v>12</v>
      </c>
      <c r="BG481" s="12" t="s">
        <v>13</v>
      </c>
      <c r="BH481" s="12" t="s">
        <v>14</v>
      </c>
    </row>
    <row r="482" spans="9:64" x14ac:dyDescent="0.3">
      <c r="L482" t="s">
        <v>119</v>
      </c>
      <c r="N482" t="s">
        <v>119</v>
      </c>
      <c r="P482" t="s">
        <v>171</v>
      </c>
      <c r="Q482" t="s">
        <v>172</v>
      </c>
      <c r="R482" t="s">
        <v>175</v>
      </c>
      <c r="S482" t="s">
        <v>177</v>
      </c>
      <c r="T482" t="s">
        <v>178</v>
      </c>
      <c r="U482" t="s">
        <v>179</v>
      </c>
      <c r="V482" t="s">
        <v>179</v>
      </c>
      <c r="W482" s="4"/>
      <c r="X482" s="4"/>
      <c r="Y482" s="4"/>
      <c r="Z482" s="4"/>
      <c r="AA482" s="4"/>
      <c r="AB482" s="4"/>
      <c r="AC482" s="4"/>
      <c r="AD482" s="4"/>
      <c r="AE482" s="4"/>
      <c r="AF482" s="4"/>
      <c r="AG482" s="4"/>
      <c r="AH482" s="4"/>
      <c r="AI482" s="10"/>
      <c r="AJ482" s="4"/>
      <c r="AK482" s="4"/>
      <c r="AL482" s="4"/>
      <c r="AM482" s="4"/>
      <c r="AN482" s="4"/>
      <c r="AO482" s="4"/>
      <c r="AP482" s="4"/>
      <c r="AQ482" s="4"/>
      <c r="AR482" s="4"/>
      <c r="AS482" s="4"/>
      <c r="AT482" s="4"/>
      <c r="AU482" s="4"/>
      <c r="AW482" s="4"/>
      <c r="AX482" s="4"/>
      <c r="AY482" s="4"/>
      <c r="AZ482" s="4"/>
      <c r="BA482" s="4"/>
      <c r="BB482" s="4"/>
      <c r="BC482" s="4"/>
      <c r="BD482" s="4"/>
      <c r="BE482" s="4"/>
      <c r="BF482" s="4"/>
      <c r="BG482" s="4"/>
      <c r="BH482" s="4"/>
      <c r="BL482" t="s">
        <v>63</v>
      </c>
    </row>
    <row r="483" spans="9:64" x14ac:dyDescent="0.3">
      <c r="L483" s="16" t="str">
        <f>'Drop-down'!$AX$7</f>
        <v>nvt</v>
      </c>
      <c r="N483" s="14">
        <f ca="1">IF('Drop-down'!$BA$7="vul in",0,'Drop-down'!$BA$7)</f>
        <v>0</v>
      </c>
      <c r="P483">
        <v>0</v>
      </c>
      <c r="Q483">
        <v>1</v>
      </c>
      <c r="R483" t="str">
        <f ca="1">IF(N483=P483,"ja","nee")</f>
        <v>ja</v>
      </c>
      <c r="S483" t="str">
        <f ca="1">IF(AND(N483&gt;P483,N483&lt;P484),Q483,"n.v.t.")</f>
        <v>n.v.t.</v>
      </c>
      <c r="T483" t="str">
        <f t="shared" ref="T483:T489" ca="1" si="355">IF(S483="n.v.t.","n.v.t.",Q483+1)</f>
        <v>n.v.t.</v>
      </c>
      <c r="U483" t="str">
        <f ca="1">IF(S483="n.v.t.","n.v.t.",(P484-N483)/(P484-P483))</f>
        <v>n.v.t.</v>
      </c>
      <c r="V483" t="str">
        <f ca="1">IF(T483="n.v.t.","n.v.t.",(N483-P483)/(P484-P483))</f>
        <v>n.v.t.</v>
      </c>
      <c r="W483" s="4" cm="1">
        <f t="array" ref="W483">INDEX(Datablad!$E$70:$L$83,W480+2,M484)</f>
        <v>28</v>
      </c>
      <c r="X483" s="4" cm="1">
        <f t="array" ref="X483">INDEX(Datablad!$E$70:$L$83,X480+2,M484)</f>
        <v>49.3</v>
      </c>
      <c r="Y483" s="4" cm="1">
        <f t="array" ref="Y483">INDEX(Datablad!$E$70:$L$83,Y480+2,M484)</f>
        <v>96.6</v>
      </c>
      <c r="Z483" s="4" cm="1">
        <f t="array" ref="Z483">INDEX(Datablad!$E$70:$L$83,Z480+2,M484)</f>
        <v>160.5</v>
      </c>
      <c r="AA483" s="4" cm="1">
        <f t="array" ref="AA483">INDEX(Datablad!$E$70:$L$83,AA480+2,M484)</f>
        <v>197</v>
      </c>
      <c r="AB483" s="4" cm="1">
        <f t="array" ref="AB483">INDEX(Datablad!$E$70:$L$83,AB480+2,M484)</f>
        <v>209.3</v>
      </c>
      <c r="AC483" s="4" cm="1">
        <f t="array" ref="AC483">INDEX(Datablad!$E$70:$L$83,AC480+2,M484)</f>
        <v>191</v>
      </c>
      <c r="AD483" s="4" cm="1">
        <f t="array" ref="AD483">INDEX(Datablad!$E$70:$L$83,AD480+2,M484)</f>
        <v>177.2</v>
      </c>
      <c r="AE483" s="4" cm="1">
        <f t="array" ref="AE483">INDEX(Datablad!$E$70:$L$83,AE480+2,M484)</f>
        <v>123.9</v>
      </c>
      <c r="AF483" s="4" cm="1">
        <f t="array" ref="AF483">INDEX(Datablad!$E$70:$L$83,AF480+2,M484)</f>
        <v>73.2</v>
      </c>
      <c r="AG483" s="4" cm="1">
        <f t="array" ref="AG483">INDEX(Datablad!$E$70:$L$83,AG480+2,M484)</f>
        <v>34.299999999999997</v>
      </c>
      <c r="AH483" s="4" cm="1">
        <f t="array" ref="AH483">INDEX(Datablad!$E$70:$L$83,AH480+2,M484)</f>
        <v>21</v>
      </c>
      <c r="AI483" s="10"/>
      <c r="AJ483" s="4" cm="1">
        <f t="array" ref="AJ483">INDEX(Datablad!$N$70:$U$83,AJ480+2,M484)</f>
        <v>14.9</v>
      </c>
      <c r="AK483" s="4" cm="1">
        <f t="array" ref="AK483">INDEX(Datablad!$N$70:$U$83,AK480+2,M484)</f>
        <v>27.2</v>
      </c>
      <c r="AL483" s="4" cm="1">
        <f t="array" ref="AL483">INDEX(Datablad!$N$70:$U$83,AL480+2,M484)</f>
        <v>56.4</v>
      </c>
      <c r="AM483" s="4" cm="1">
        <f t="array" ref="AM483">INDEX(Datablad!$N$70:$U$83,AM480+2,M484)</f>
        <v>104.6</v>
      </c>
      <c r="AN483" s="4" cm="1">
        <f t="array" ref="AN483">INDEX(Datablad!$N$70:$U$83,AN480+2,M484)</f>
        <v>148.5</v>
      </c>
      <c r="AO483" s="4" cm="1">
        <f t="array" ref="AO483">INDEX(Datablad!$N$70:$U$83,AO480+2,M484)</f>
        <v>171</v>
      </c>
      <c r="AP483" s="4" cm="1">
        <f t="array" ref="AP483">INDEX(Datablad!$N$70:$U$83,AP480+2,M484)</f>
        <v>153</v>
      </c>
      <c r="AQ483" s="4" cm="1">
        <f t="array" ref="AQ483">INDEX(Datablad!$N$70:$U$83,AQ480+2,M484)</f>
        <v>125.8</v>
      </c>
      <c r="AR483" s="4" cm="1">
        <f t="array" ref="AR483">INDEX(Datablad!$N$70:$U$83,AR480+2,M484)</f>
        <v>73.7</v>
      </c>
      <c r="AS483" s="4" cm="1">
        <f t="array" ref="AS483">INDEX(Datablad!$N$70:$U$83,AS480+2,M484)</f>
        <v>36.299999999999997</v>
      </c>
      <c r="AT483" s="4" cm="1">
        <f t="array" ref="AT483">INDEX(Datablad!$N$70:$U$83,AT480+2,M484)</f>
        <v>18.600000000000001</v>
      </c>
      <c r="AU483" s="4" cm="1">
        <f t="array" ref="AU483">INDEX(Datablad!$N$70:$U$83,AU480+2,M484)</f>
        <v>12.2</v>
      </c>
      <c r="AV483">
        <v>1</v>
      </c>
      <c r="AW483" s="4">
        <f t="shared" ref="AW483:AW489" ca="1" si="356">IF(R483="ja",W483,IF(S483="n.v.t.","n.v.t.",U483*W483+V483*AJ483))</f>
        <v>28</v>
      </c>
      <c r="AX483" s="4">
        <f t="shared" ref="AX483:AX489" ca="1" si="357">IF(R483="ja",X483,IF(S483="n.v.t.","n.v.t.",U483*X483+V483*AK483))</f>
        <v>49.3</v>
      </c>
      <c r="AY483" s="4">
        <f t="shared" ref="AY483:AY489" ca="1" si="358">IF(R483="ja",Y483,IF(S483="n.v.t.","n.v.t.",U483*Y483+V483*AL483))</f>
        <v>96.6</v>
      </c>
      <c r="AZ483" s="4">
        <f t="shared" ref="AZ483:AZ489" ca="1" si="359">IF(R483="ja",Z483,IF(S483="n.v.t.","n.v.t.",U483*Z483+V483*AM483))</f>
        <v>160.5</v>
      </c>
      <c r="BA483" s="4">
        <f t="shared" ref="BA483:BA489" ca="1" si="360">IF(R483="ja",AA483,IF(S483="n.v.t.","n.v.t.",U483*AA483+V483*AN483))</f>
        <v>197</v>
      </c>
      <c r="BB483" s="4">
        <f t="shared" ref="BB483:BB489" ca="1" si="361">IF(R483="ja",AB483,IF(S483="n.v.t.","n.v.t.",U483*AB483+V483*AO483))</f>
        <v>209.3</v>
      </c>
      <c r="BC483" s="4">
        <f t="shared" ref="BC483:BC489" ca="1" si="362">IF(R483="ja",AC483,IF(S483="n.v.t.","n.v.t.",U483*AC483+V483*AP483))</f>
        <v>191</v>
      </c>
      <c r="BD483" s="4">
        <f t="shared" ref="BD483:BD489" ca="1" si="363">IF(R483="ja",AD483,IF(S483="n.v.t.","n.v.t.",U483*AD483+V483*AQ483))</f>
        <v>177.2</v>
      </c>
      <c r="BE483" s="4">
        <f t="shared" ref="BE483:BE489" ca="1" si="364">IF(R483="ja",AE483,IF(S483="n.v.t.","n.v.t.",U483*AE483+V483*AR483))</f>
        <v>123.9</v>
      </c>
      <c r="BF483" s="4">
        <f t="shared" ref="BF483:BF489" ca="1" si="365">IF(R483="ja",AF483,IF(S483="n.v.t.","n.v.t.",U483*AF483+V483*AS483))</f>
        <v>73.2</v>
      </c>
      <c r="BG483" s="4">
        <f t="shared" ref="BG483:BG489" ca="1" si="366">IF(R483="ja",AG483,IF(S483="n.v.t.","n.v.t.",U483*AG483+V483*AT483))</f>
        <v>34.299999999999997</v>
      </c>
      <c r="BH483" s="4">
        <f t="shared" ref="BH483:BH489" ca="1" si="367">IF(R483="ja",AH483,IF(S483="n.v.t.","n.v.t.",U483*AH483+V483*AU483))</f>
        <v>21</v>
      </c>
    </row>
    <row r="484" spans="9:64" x14ac:dyDescent="0.3">
      <c r="L484" t="s">
        <v>187</v>
      </c>
      <c r="M484" s="58">
        <f>IF(L483="nvt",1,VLOOKUP(L483,K487:M495,3,FALSE))</f>
        <v>1</v>
      </c>
      <c r="P484">
        <v>30</v>
      </c>
      <c r="Q484">
        <v>2</v>
      </c>
      <c r="R484" t="str">
        <f ca="1">IF(N483=P484,"ja","nee")</f>
        <v>nee</v>
      </c>
      <c r="S484" t="str">
        <f ca="1">IF(AND(N483&gt;P484,N483&lt;P485),Q484,"n.v.t.")</f>
        <v>n.v.t.</v>
      </c>
      <c r="T484" t="str">
        <f t="shared" ca="1" si="355"/>
        <v>n.v.t.</v>
      </c>
      <c r="U484" t="str">
        <f ca="1">IF(S484="n.v.t.","n.v.t.",(P485-N483)/(P485-P484))</f>
        <v>n.v.t.</v>
      </c>
      <c r="V484" t="str">
        <f ca="1">IF(T484="n.v.t.","n.v.t.",(N483-P484)/(P485-P484))</f>
        <v>n.v.t.</v>
      </c>
      <c r="W484" s="4" cm="1">
        <f t="array" ref="W484">INDEX(Datablad!$N$70:$U$83,W480+2,M484)</f>
        <v>14.9</v>
      </c>
      <c r="X484" s="4" cm="1">
        <f t="array" ref="X484">INDEX(Datablad!$N$70:$U$83,X480+2,M484)</f>
        <v>27.2</v>
      </c>
      <c r="Y484" s="4" cm="1">
        <f t="array" ref="Y484">INDEX(Datablad!$N$70:$U$83,Y480+2,M484)</f>
        <v>56.4</v>
      </c>
      <c r="Z484" s="4" cm="1">
        <f t="array" ref="Z484">INDEX(Datablad!$N$70:$U$83,Z480+2,M484)</f>
        <v>104.6</v>
      </c>
      <c r="AA484" s="4" cm="1">
        <f t="array" ref="AA484">INDEX(Datablad!$N$70:$U$83,AA480+2,M484)</f>
        <v>148.5</v>
      </c>
      <c r="AB484" s="4" cm="1">
        <f t="array" ref="AB484">INDEX(Datablad!$N$70:$U$83,AB480+2,M484)</f>
        <v>171</v>
      </c>
      <c r="AC484" s="4" cm="1">
        <f t="array" ref="AC484">INDEX(Datablad!$N$70:$U$83,AC480+2,M484)</f>
        <v>153</v>
      </c>
      <c r="AD484" s="4" cm="1">
        <f t="array" ref="AD484">INDEX(Datablad!$N$70:$U$83,AD480+2,M484)</f>
        <v>125.8</v>
      </c>
      <c r="AE484" s="4" cm="1">
        <f t="array" ref="AE484">INDEX(Datablad!$N$70:$U$83,AE480+2,M484)</f>
        <v>73.7</v>
      </c>
      <c r="AF484" s="4" cm="1">
        <f t="array" ref="AF484">INDEX(Datablad!$N$70:$U$83,AF480+2,M484)</f>
        <v>36.299999999999997</v>
      </c>
      <c r="AG484" s="4" cm="1">
        <f t="array" ref="AG484">INDEX(Datablad!$N$70:$U$83,AG480+2,M484)</f>
        <v>18.600000000000001</v>
      </c>
      <c r="AH484" s="4" cm="1">
        <f t="array" ref="AH484">INDEX(Datablad!$N$70:$U$83,AH480+2,M484)</f>
        <v>12.2</v>
      </c>
      <c r="AI484" s="10"/>
      <c r="AJ484" s="4" cm="1">
        <f t="array" ref="AJ484">INDEX(Datablad!$W$70:$AD$83,AJ480+2,M484)</f>
        <v>14.3</v>
      </c>
      <c r="AK484" s="4" cm="1">
        <f t="array" ref="AK484">INDEX(Datablad!$W$70:$AD$83,AK480+2,M484)</f>
        <v>25.9</v>
      </c>
      <c r="AL484" s="4" cm="1">
        <f t="array" ref="AL484">INDEX(Datablad!$W$70:$AD$83,AL480+2,M484)</f>
        <v>44.3</v>
      </c>
      <c r="AM484" s="4" cm="1">
        <f t="array" ref="AM484">INDEX(Datablad!$W$70:$AD$83,AM480+2,M484)</f>
        <v>70</v>
      </c>
      <c r="AN484" s="4" cm="1">
        <f t="array" ref="AN484">INDEX(Datablad!$W$70:$AD$83,AN480+2,M484)</f>
        <v>113.6</v>
      </c>
      <c r="AO484" s="4" cm="1">
        <f t="array" ref="AO484">INDEX(Datablad!$W$70:$AD$83,AO480+2,M484)</f>
        <v>139.6</v>
      </c>
      <c r="AP484" s="4" cm="1">
        <f t="array" ref="AP484">INDEX(Datablad!$W$70:$AD$83,AP480+2,M484)</f>
        <v>123.5</v>
      </c>
      <c r="AQ484" s="4" cm="1">
        <f t="array" ref="AQ484">INDEX(Datablad!$W$70:$AD$83,AQ480+2,M484)</f>
        <v>91.5</v>
      </c>
      <c r="AR484" s="4" cm="1">
        <f t="array" ref="AR484">INDEX(Datablad!$W$70:$AD$83,AR480+2,M484)</f>
        <v>52.9</v>
      </c>
      <c r="AS484" s="4" cm="1">
        <f t="array" ref="AS484">INDEX(Datablad!$W$70:$AD$83,AS480+2,M484)</f>
        <v>33.5</v>
      </c>
      <c r="AT484" s="4" cm="1">
        <f t="array" ref="AT484">INDEX(Datablad!$W$70:$AD$83,AT480+2,M484)</f>
        <v>17.8</v>
      </c>
      <c r="AU484" s="4" cm="1">
        <f t="array" ref="AU484">INDEX(Datablad!$W$70:$AD$83,AU480+2,M484)</f>
        <v>11.7</v>
      </c>
      <c r="AV484">
        <v>2</v>
      </c>
      <c r="AW484" s="4" t="str">
        <f t="shared" ca="1" si="356"/>
        <v>n.v.t.</v>
      </c>
      <c r="AX484" s="4" t="str">
        <f t="shared" ca="1" si="357"/>
        <v>n.v.t.</v>
      </c>
      <c r="AY484" s="4" t="str">
        <f t="shared" ca="1" si="358"/>
        <v>n.v.t.</v>
      </c>
      <c r="AZ484" s="4" t="str">
        <f t="shared" ca="1" si="359"/>
        <v>n.v.t.</v>
      </c>
      <c r="BA484" s="4" t="str">
        <f t="shared" ca="1" si="360"/>
        <v>n.v.t.</v>
      </c>
      <c r="BB484" s="4" t="str">
        <f t="shared" ca="1" si="361"/>
        <v>n.v.t.</v>
      </c>
      <c r="BC484" s="4" t="str">
        <f t="shared" ca="1" si="362"/>
        <v>n.v.t.</v>
      </c>
      <c r="BD484" s="4" t="str">
        <f t="shared" ca="1" si="363"/>
        <v>n.v.t.</v>
      </c>
      <c r="BE484" s="4" t="str">
        <f t="shared" ca="1" si="364"/>
        <v>n.v.t.</v>
      </c>
      <c r="BF484" s="4" t="str">
        <f t="shared" ca="1" si="365"/>
        <v>n.v.t.</v>
      </c>
      <c r="BG484" s="4" t="str">
        <f t="shared" ca="1" si="366"/>
        <v>n.v.t.</v>
      </c>
      <c r="BH484" s="4" t="str">
        <f t="shared" ca="1" si="367"/>
        <v>n.v.t.</v>
      </c>
      <c r="BL484" t="s">
        <v>65</v>
      </c>
    </row>
    <row r="485" spans="9:64" x14ac:dyDescent="0.3">
      <c r="M485" s="58" t="str">
        <f>IF(L483="nvt","ho",VLOOKUP(L483,K487:M495,2,FALSE))</f>
        <v>ho</v>
      </c>
      <c r="P485">
        <v>45</v>
      </c>
      <c r="Q485">
        <v>3</v>
      </c>
      <c r="R485" t="str">
        <f ca="1">IF(N483=P485,"ja","nee")</f>
        <v>nee</v>
      </c>
      <c r="S485" t="str">
        <f ca="1">IF(AND(N483&gt;P485,N483&lt;P486),Q485,"n.v.t.")</f>
        <v>n.v.t.</v>
      </c>
      <c r="T485" t="str">
        <f t="shared" ca="1" si="355"/>
        <v>n.v.t.</v>
      </c>
      <c r="U485" t="str">
        <f ca="1">IF(S485="n.v.t.","n.v.t.",(P486-N483)/(P486-P485))</f>
        <v>n.v.t.</v>
      </c>
      <c r="V485" t="str">
        <f ca="1">IF(T485="n.v.t.","n.v.t.",(N483-P485)/(P486-P485))</f>
        <v>n.v.t.</v>
      </c>
      <c r="W485" s="4" cm="1">
        <f t="array" ref="W485">INDEX(Datablad!$W$70:$AD$83,W480+2,M484)</f>
        <v>14.3</v>
      </c>
      <c r="X485" s="4" cm="1">
        <f t="array" ref="X485">INDEX(Datablad!$W$70:$AD$83,X480+2,M484)</f>
        <v>25.9</v>
      </c>
      <c r="Y485" s="4" cm="1">
        <f t="array" ref="Y485">INDEX(Datablad!$W$70:$AD$83,Y480+2,M484)</f>
        <v>44.3</v>
      </c>
      <c r="Z485" s="4" cm="1">
        <f t="array" ref="Z485">INDEX(Datablad!$W$70:$AD$83,Z480+2,M484)</f>
        <v>70</v>
      </c>
      <c r="AA485" s="4" cm="1">
        <f t="array" ref="AA485">INDEX(Datablad!$W$70:$AD$83,AA480+2,M484)</f>
        <v>113.6</v>
      </c>
      <c r="AB485" s="4" cm="1">
        <f t="array" ref="AB485">INDEX(Datablad!$W$70:$AD$83,AB480+2,M484)</f>
        <v>139.6</v>
      </c>
      <c r="AC485" s="4" cm="1">
        <f t="array" ref="AC485">INDEX(Datablad!$W$70:$AD$83,AC480+2,M484)</f>
        <v>123.5</v>
      </c>
      <c r="AD485" s="4" cm="1">
        <f t="array" ref="AD485">INDEX(Datablad!$W$70:$AD$83,AD480+2,M484)</f>
        <v>91.5</v>
      </c>
      <c r="AE485" s="4" cm="1">
        <f t="array" ref="AE485">INDEX(Datablad!$W$70:$AD$83,AE480+2,M484)</f>
        <v>52.9</v>
      </c>
      <c r="AF485" s="4" cm="1">
        <f t="array" ref="AF485">INDEX(Datablad!$W$70:$AD$83,AF480+2,M484)</f>
        <v>33.5</v>
      </c>
      <c r="AG485" s="4" cm="1">
        <f t="array" ref="AG485">INDEX(Datablad!$W$70:$AD$83,AG480+2,M484)</f>
        <v>17.8</v>
      </c>
      <c r="AH485" s="4" cm="1">
        <f t="array" ref="AH485">INDEX(Datablad!$W$70:$AD$83,AH480+2,M484)</f>
        <v>11.7</v>
      </c>
      <c r="AI485" s="10"/>
      <c r="AJ485" s="4" cm="1">
        <f t="array" ref="AJ485">INDEX(Datablad!$AF$70:$AM$83,AJ480+2,M484)</f>
        <v>13.4</v>
      </c>
      <c r="AK485" s="4" cm="1">
        <f t="array" ref="AK485">INDEX(Datablad!$AF$70:$AM$83,AK480+2,M484)</f>
        <v>24.1</v>
      </c>
      <c r="AL485" s="4" cm="1">
        <f t="array" ref="AL485">INDEX(Datablad!$AF$70:$AM$83,AL480+2,M484)</f>
        <v>41.5</v>
      </c>
      <c r="AM485" s="4" cm="1">
        <f t="array" ref="AM485">INDEX(Datablad!$AF$70:$AM$83,AM480+2,M484)</f>
        <v>57.8</v>
      </c>
      <c r="AN485" s="4" cm="1">
        <f t="array" ref="AN485">INDEX(Datablad!$AF$70:$AM$83,AN480+2,M484)</f>
        <v>78.5</v>
      </c>
      <c r="AO485" s="4" cm="1">
        <f t="array" ref="AO485">INDEX(Datablad!$AF$70:$AM$83,AO480+2,M484)</f>
        <v>102.9</v>
      </c>
      <c r="AP485" s="4" cm="1">
        <f t="array" ref="AP485">INDEX(Datablad!$AF$70:$AM$83,AP480+2,M484)</f>
        <v>90.4</v>
      </c>
      <c r="AQ485" s="4" cm="1">
        <f t="array" ref="AQ485">INDEX(Datablad!$AF$70:$AM$83,AQ480+2,M484)</f>
        <v>68</v>
      </c>
      <c r="AR485" s="4" cm="1">
        <f t="array" ref="AR485">INDEX(Datablad!$AF$70:$AM$83,AR480+2,M484)</f>
        <v>48.6</v>
      </c>
      <c r="AS485" s="4" cm="1">
        <f t="array" ref="AS485">INDEX(Datablad!$AF$70:$AM$83,AS480+2,M484)</f>
        <v>31.5</v>
      </c>
      <c r="AT485" s="4" cm="1">
        <f t="array" ref="AT485">INDEX(Datablad!$AF$70:$AM$83,AT480+2,M484)</f>
        <v>16.600000000000001</v>
      </c>
      <c r="AU485" s="4" cm="1">
        <f t="array" ref="AU485">INDEX(Datablad!$AF$70:$AM$83,AU480+2,M484)</f>
        <v>10.9</v>
      </c>
      <c r="AV485">
        <v>3</v>
      </c>
      <c r="AW485" s="4" t="str">
        <f t="shared" ca="1" si="356"/>
        <v>n.v.t.</v>
      </c>
      <c r="AX485" s="4" t="str">
        <f t="shared" ca="1" si="357"/>
        <v>n.v.t.</v>
      </c>
      <c r="AY485" s="4" t="str">
        <f t="shared" ca="1" si="358"/>
        <v>n.v.t.</v>
      </c>
      <c r="AZ485" s="4" t="str">
        <f t="shared" ca="1" si="359"/>
        <v>n.v.t.</v>
      </c>
      <c r="BA485" s="4" t="str">
        <f t="shared" ca="1" si="360"/>
        <v>n.v.t.</v>
      </c>
      <c r="BB485" s="4" t="str">
        <f t="shared" ca="1" si="361"/>
        <v>n.v.t.</v>
      </c>
      <c r="BC485" s="4" t="str">
        <f t="shared" ca="1" si="362"/>
        <v>n.v.t.</v>
      </c>
      <c r="BD485" s="4" t="str">
        <f t="shared" ca="1" si="363"/>
        <v>n.v.t.</v>
      </c>
      <c r="BE485" s="4" t="str">
        <f t="shared" ca="1" si="364"/>
        <v>n.v.t.</v>
      </c>
      <c r="BF485" s="4" t="str">
        <f t="shared" ca="1" si="365"/>
        <v>n.v.t.</v>
      </c>
      <c r="BG485" s="4" t="str">
        <f t="shared" ca="1" si="366"/>
        <v>n.v.t.</v>
      </c>
      <c r="BH485" s="4" t="str">
        <f t="shared" ca="1" si="367"/>
        <v>n.v.t.</v>
      </c>
    </row>
    <row r="486" spans="9:64" x14ac:dyDescent="0.3">
      <c r="K486" t="s">
        <v>366</v>
      </c>
      <c r="L486" t="s">
        <v>367</v>
      </c>
      <c r="M486" t="s">
        <v>370</v>
      </c>
      <c r="P486">
        <v>60</v>
      </c>
      <c r="Q486">
        <v>4</v>
      </c>
      <c r="R486" t="str">
        <f ca="1">IF(N483=P486,"ja","nee")</f>
        <v>nee</v>
      </c>
      <c r="S486" t="str">
        <f ca="1">IF(AND(N483&gt;P486,N483&lt;P487),Q486,"n.v.t.")</f>
        <v>n.v.t.</v>
      </c>
      <c r="T486" t="str">
        <f t="shared" ca="1" si="355"/>
        <v>n.v.t.</v>
      </c>
      <c r="U486" t="str">
        <f ca="1">IF(S486="n.v.t.","n.v.t.",(P487-N483)/(P487-P486))</f>
        <v>n.v.t.</v>
      </c>
      <c r="V486" t="str">
        <f ca="1">IF(T486="n.v.t.","n.v.t.",(N483-P486)/(P487-P486))</f>
        <v>n.v.t.</v>
      </c>
      <c r="W486" s="4" cm="1">
        <f t="array" ref="W486">INDEX(Datablad!$AF$70:$AM$83,W480+2,M484)</f>
        <v>13.4</v>
      </c>
      <c r="X486" s="4" cm="1">
        <f t="array" ref="X486">INDEX(Datablad!$AF$70:$AM$83,X480+2,M484)</f>
        <v>24.1</v>
      </c>
      <c r="Y486" s="4" cm="1">
        <f t="array" ref="Y486">INDEX(Datablad!$AF$70:$AM$83,Y480+2,M484)</f>
        <v>41.5</v>
      </c>
      <c r="Z486" s="4" cm="1">
        <f t="array" ref="Z486">INDEX(Datablad!$AF$70:$AM$83,Z480+2,M484)</f>
        <v>57.8</v>
      </c>
      <c r="AA486" s="4" cm="1">
        <f t="array" ref="AA486">INDEX(Datablad!$AF$70:$AM$83,AA480+2,M484)</f>
        <v>78.5</v>
      </c>
      <c r="AB486" s="4" cm="1">
        <f t="array" ref="AB486">INDEX(Datablad!$AF$70:$AM$83,AB480+2,M484)</f>
        <v>102.9</v>
      </c>
      <c r="AC486" s="4" cm="1">
        <f t="array" ref="AC486">INDEX(Datablad!$AF$70:$AM$83,AC480+2,M484)</f>
        <v>90.4</v>
      </c>
      <c r="AD486" s="4" cm="1">
        <f t="array" ref="AD486">INDEX(Datablad!$AF$70:$AM$83,AD480+2,M484)</f>
        <v>68</v>
      </c>
      <c r="AE486" s="4" cm="1">
        <f t="array" ref="AE486">INDEX(Datablad!$AF$70:$AM$83,AE480+2,M484)</f>
        <v>48.6</v>
      </c>
      <c r="AF486" s="4" cm="1">
        <f t="array" ref="AF486">INDEX(Datablad!$AF$70:$AM$83,AF480+2,M484)</f>
        <v>31.5</v>
      </c>
      <c r="AG486" s="4" cm="1">
        <f t="array" ref="AG486">INDEX(Datablad!$AF$70:$AM$83,AG480+2,M484)</f>
        <v>16.600000000000001</v>
      </c>
      <c r="AH486" s="4" cm="1">
        <f t="array" ref="AH486">INDEX(Datablad!$AF$70:$AM$83,AH480+2,M484)</f>
        <v>10.9</v>
      </c>
      <c r="AI486" s="10"/>
      <c r="AJ486" s="4" cm="1">
        <f t="array" ref="AJ486">INDEX(Datablad!$AO$70:$AV$83,AJ480+2,M484)</f>
        <v>11.1</v>
      </c>
      <c r="AK486" s="4" cm="1">
        <f t="array" ref="AK486">INDEX(Datablad!$AO$70:$AV$83,AK480+2,M484)</f>
        <v>19.5</v>
      </c>
      <c r="AL486" s="4" cm="1">
        <f t="array" ref="AL486">INDEX(Datablad!$AO$70:$AV$83,AL480+2,M484)</f>
        <v>34.799999999999997</v>
      </c>
      <c r="AM486" s="4" cm="1">
        <f t="array" ref="AM486">INDEX(Datablad!$AO$70:$AV$83,AM480+2,M484)</f>
        <v>49.4</v>
      </c>
      <c r="AN486" s="4" cm="1">
        <f t="array" ref="AN486">INDEX(Datablad!$AO$70:$AV$83,AN480+2,M484)</f>
        <v>61.9</v>
      </c>
      <c r="AO486" s="4" cm="1">
        <f t="array" ref="AO486">INDEX(Datablad!$AO$70:$AV$83,AO480+2,M484)</f>
        <v>73</v>
      </c>
      <c r="AP486" s="4" cm="1">
        <f t="array" ref="AP486">INDEX(Datablad!$AO$70:$AV$83,AP480+2,M484)</f>
        <v>66.7</v>
      </c>
      <c r="AQ486" s="4" cm="1">
        <f t="array" ref="AQ486">INDEX(Datablad!$AO$70:$AV$83,AQ480+2,M484)</f>
        <v>55.9</v>
      </c>
      <c r="AR486" s="4" cm="1">
        <f t="array" ref="AR486">INDEX(Datablad!$AO$70:$AV$83,AR480+2,M484)</f>
        <v>41.4</v>
      </c>
      <c r="AS486" s="4" cm="1">
        <f t="array" ref="AS486">INDEX(Datablad!$AO$70:$AV$83,AS480+2,M484)</f>
        <v>26.4</v>
      </c>
      <c r="AT486" s="4" cm="1">
        <f t="array" ref="AT486">INDEX(Datablad!$AO$70:$AV$83,AT480+2,M484)</f>
        <v>13.6</v>
      </c>
      <c r="AU486" s="4" cm="1">
        <f t="array" ref="AU486">INDEX(Datablad!$AO$70:$AV$83,AU480+2,M484)</f>
        <v>8.9</v>
      </c>
      <c r="AV486">
        <v>4</v>
      </c>
      <c r="AW486" s="4" t="str">
        <f t="shared" ca="1" si="356"/>
        <v>n.v.t.</v>
      </c>
      <c r="AX486" s="4" t="str">
        <f t="shared" ca="1" si="357"/>
        <v>n.v.t.</v>
      </c>
      <c r="AY486" s="4" t="str">
        <f t="shared" ca="1" si="358"/>
        <v>n.v.t.</v>
      </c>
      <c r="AZ486" s="4" t="str">
        <f t="shared" ca="1" si="359"/>
        <v>n.v.t.</v>
      </c>
      <c r="BA486" s="4" t="str">
        <f t="shared" ca="1" si="360"/>
        <v>n.v.t.</v>
      </c>
      <c r="BB486" s="4" t="str">
        <f t="shared" ca="1" si="361"/>
        <v>n.v.t.</v>
      </c>
      <c r="BC486" s="4" t="str">
        <f t="shared" ca="1" si="362"/>
        <v>n.v.t.</v>
      </c>
      <c r="BD486" s="4" t="str">
        <f t="shared" ca="1" si="363"/>
        <v>n.v.t.</v>
      </c>
      <c r="BE486" s="4" t="str">
        <f t="shared" ca="1" si="364"/>
        <v>n.v.t.</v>
      </c>
      <c r="BF486" s="4" t="str">
        <f t="shared" ca="1" si="365"/>
        <v>n.v.t.</v>
      </c>
      <c r="BG486" s="4" t="str">
        <f t="shared" ca="1" si="366"/>
        <v>n.v.t.</v>
      </c>
      <c r="BH486" s="4" t="str">
        <f t="shared" ca="1" si="367"/>
        <v>n.v.t.</v>
      </c>
      <c r="BL486" t="s">
        <v>64</v>
      </c>
    </row>
    <row r="487" spans="9:64" x14ac:dyDescent="0.3">
      <c r="K487">
        <v>1</v>
      </c>
      <c r="L487" s="11" t="s">
        <v>368</v>
      </c>
      <c r="M487">
        <v>1</v>
      </c>
      <c r="P487">
        <v>90</v>
      </c>
      <c r="Q487">
        <v>5</v>
      </c>
      <c r="R487" t="str">
        <f ca="1">IF(N483=P487,"ja","nee")</f>
        <v>nee</v>
      </c>
      <c r="S487" t="str">
        <f ca="1">IF(AND(N483&gt;P487,N483&lt;P488),Q487,"n.v.t.")</f>
        <v>n.v.t.</v>
      </c>
      <c r="T487" t="str">
        <f t="shared" ca="1" si="355"/>
        <v>n.v.t.</v>
      </c>
      <c r="U487" t="str">
        <f ca="1">IF(S487="n.v.t.","n.v.t.",(P488-N483)/(P488-P487))</f>
        <v>n.v.t.</v>
      </c>
      <c r="V487" t="str">
        <f ca="1">IF(T487="n.v.t.","n.v.t.",(N483-P487)/(P488-P487))</f>
        <v>n.v.t.</v>
      </c>
      <c r="W487" s="4" cm="1">
        <f t="array" ref="W487">INDEX(Datablad!$AO$70:$AV$83,W480+2,M484)</f>
        <v>11.1</v>
      </c>
      <c r="X487" s="4" cm="1">
        <f t="array" ref="X487">INDEX(Datablad!$AO$70:$AV$83,X480+2,M484)</f>
        <v>19.5</v>
      </c>
      <c r="Y487" s="4" cm="1">
        <f t="array" ref="Y487">INDEX(Datablad!$AO$70:$AV$83,Y480+2,M484)</f>
        <v>34.799999999999997</v>
      </c>
      <c r="Z487" s="4" cm="1">
        <f t="array" ref="Z487">INDEX(Datablad!$AO$70:$AV$83,Z480+2,M484)</f>
        <v>49.4</v>
      </c>
      <c r="AA487" s="4" cm="1">
        <f t="array" ref="AA487">INDEX(Datablad!$AO$70:$AV$83,AA480+2,M484)</f>
        <v>61.9</v>
      </c>
      <c r="AB487" s="4" cm="1">
        <f t="array" ref="AB487">INDEX(Datablad!$AO$70:$AV$83,AB480+2,M484)</f>
        <v>73</v>
      </c>
      <c r="AC487" s="4" cm="1">
        <f t="array" ref="AC487">INDEX(Datablad!$AO$70:$AV$83,AC480+2,M484)</f>
        <v>66.7</v>
      </c>
      <c r="AD487" s="4" cm="1">
        <f t="array" ref="AD487">INDEX(Datablad!$AO$70:$AV$83,AD480+2,M484)</f>
        <v>55.9</v>
      </c>
      <c r="AE487" s="4" cm="1">
        <f t="array" ref="AE487">INDEX(Datablad!$AO$70:$AV$83,AE480+2,M484)</f>
        <v>41.4</v>
      </c>
      <c r="AF487" s="4" cm="1">
        <f t="array" ref="AF487">INDEX(Datablad!$AO$70:$AV$83,AF480+2,M484)</f>
        <v>26.4</v>
      </c>
      <c r="AG487" s="4" cm="1">
        <f t="array" ref="AG487">INDEX(Datablad!$AO$70:$AV$83,AG480+2,M484)</f>
        <v>13.6</v>
      </c>
      <c r="AH487" s="4" cm="1">
        <f t="array" ref="AH487">INDEX(Datablad!$AO$70:$AV$83,AH480+2,M484)</f>
        <v>8.9</v>
      </c>
      <c r="AI487" s="10"/>
      <c r="AJ487" s="4" cm="1">
        <f t="array" ref="AJ487">INDEX(Datablad!$AX$70:$BE$83,AJ480+2,M484)</f>
        <v>7.5</v>
      </c>
      <c r="AK487" s="4" cm="1">
        <f t="array" ref="AK487">INDEX(Datablad!$AX$70:$BE$83,AK480+2,M484)</f>
        <v>12.9</v>
      </c>
      <c r="AL487" s="4" cm="1">
        <f t="array" ref="AL487">INDEX(Datablad!$AX$70:$BE$83,AL480+2,M484)</f>
        <v>24.5</v>
      </c>
      <c r="AM487" s="4" cm="1">
        <f t="array" ref="AM487">INDEX(Datablad!$AX$70:$BE$83,AM480+2,M484)</f>
        <v>38.299999999999997</v>
      </c>
      <c r="AN487" s="4" cm="1">
        <f t="array" ref="AN487">INDEX(Datablad!$AX$70:$BE$83,AN480+2,M484)</f>
        <v>46.7</v>
      </c>
      <c r="AO487" s="4" cm="1">
        <f t="array" ref="AO487">INDEX(Datablad!$AX$70:$BE$83,AO480+2,M484)</f>
        <v>50.6</v>
      </c>
      <c r="AP487" s="4" cm="1">
        <f t="array" ref="AP487">INDEX(Datablad!$AX$70:$BE$83,AP480+2,M484)</f>
        <v>46.5</v>
      </c>
      <c r="AQ487" s="4" cm="1">
        <f t="array" ref="AQ487">INDEX(Datablad!$AX$70:$BE$83,AQ480+2,M484)</f>
        <v>42.1</v>
      </c>
      <c r="AR487" s="4" cm="1">
        <f t="array" ref="AR487">INDEX(Datablad!$AX$70:$BE$83,AR480+2,M484)</f>
        <v>30.4</v>
      </c>
      <c r="AS487" s="4" cm="1">
        <f t="array" ref="AS487">INDEX(Datablad!$AX$70:$BE$83,AS480+2,M484)</f>
        <v>18.600000000000001</v>
      </c>
      <c r="AT487" s="4" cm="1">
        <f t="array" ref="AT487">INDEX(Datablad!$AX$70:$BE$83,AT480+2,M484)</f>
        <v>9.1</v>
      </c>
      <c r="AU487" s="4" cm="1">
        <f t="array" ref="AU487">INDEX(Datablad!$AX$70:$BE$83,AU480+2,M484)</f>
        <v>5.8</v>
      </c>
      <c r="AV487">
        <v>5</v>
      </c>
      <c r="AW487" s="4" t="str">
        <f t="shared" ca="1" si="356"/>
        <v>n.v.t.</v>
      </c>
      <c r="AX487" s="4" t="str">
        <f t="shared" ca="1" si="357"/>
        <v>n.v.t.</v>
      </c>
      <c r="AY487" s="4" t="str">
        <f t="shared" ca="1" si="358"/>
        <v>n.v.t.</v>
      </c>
      <c r="AZ487" s="4" t="str">
        <f t="shared" ca="1" si="359"/>
        <v>n.v.t.</v>
      </c>
      <c r="BA487" s="4" t="str">
        <f t="shared" ca="1" si="360"/>
        <v>n.v.t.</v>
      </c>
      <c r="BB487" s="4" t="str">
        <f t="shared" ca="1" si="361"/>
        <v>n.v.t.</v>
      </c>
      <c r="BC487" s="4" t="str">
        <f t="shared" ca="1" si="362"/>
        <v>n.v.t.</v>
      </c>
      <c r="BD487" s="4" t="str">
        <f t="shared" ca="1" si="363"/>
        <v>n.v.t.</v>
      </c>
      <c r="BE487" s="4" t="str">
        <f t="shared" ca="1" si="364"/>
        <v>n.v.t.</v>
      </c>
      <c r="BF487" s="4" t="str">
        <f t="shared" ca="1" si="365"/>
        <v>n.v.t.</v>
      </c>
      <c r="BG487" s="4" t="str">
        <f t="shared" ca="1" si="366"/>
        <v>n.v.t.</v>
      </c>
      <c r="BH487" s="4" t="str">
        <f t="shared" ca="1" si="367"/>
        <v>n.v.t.</v>
      </c>
    </row>
    <row r="488" spans="9:64" x14ac:dyDescent="0.3">
      <c r="K488">
        <v>2</v>
      </c>
      <c r="L488" s="11" t="s">
        <v>183</v>
      </c>
      <c r="M488">
        <v>5</v>
      </c>
      <c r="P488">
        <v>135</v>
      </c>
      <c r="Q488">
        <v>6</v>
      </c>
      <c r="R488" t="str">
        <f ca="1">IF(N483=P488,"ja","nee")</f>
        <v>nee</v>
      </c>
      <c r="S488" t="str">
        <f ca="1">IF(AND(N483&gt;P488,N483&lt;P489),Q488,"n.v.t.")</f>
        <v>n.v.t.</v>
      </c>
      <c r="T488" t="str">
        <f t="shared" ca="1" si="355"/>
        <v>n.v.t.</v>
      </c>
      <c r="U488" t="str">
        <f ca="1">IF(S488="n.v.t.","n.v.t.",(P489-N483)/(P489-P488))</f>
        <v>n.v.t.</v>
      </c>
      <c r="V488" t="str">
        <f ca="1">IF(T488="n.v.t.","n.v.t.",(N483-P488)/(P489-P488))</f>
        <v>n.v.t.</v>
      </c>
      <c r="W488" s="4" cm="1">
        <f t="array" ref="W488">INDEX(Datablad!$AX$70:$BE$83,W480+2,M484)</f>
        <v>7.5</v>
      </c>
      <c r="X488" s="4" cm="1">
        <f t="array" ref="X488">INDEX(Datablad!$AX$70:$BE$83,X480+2,M484)</f>
        <v>12.9</v>
      </c>
      <c r="Y488" s="4" cm="1">
        <f t="array" ref="Y488">INDEX(Datablad!$AX$70:$BE$83,Y480+2,M484)</f>
        <v>24.5</v>
      </c>
      <c r="Z488" s="4" cm="1">
        <f t="array" ref="Z488">INDEX(Datablad!$AX$70:$BE$83,Z480+2,M484)</f>
        <v>38.299999999999997</v>
      </c>
      <c r="AA488" s="4" cm="1">
        <f t="array" ref="AA488">INDEX(Datablad!$AX$70:$BE$83,AA480+2,M484)</f>
        <v>46.7</v>
      </c>
      <c r="AB488" s="4" cm="1">
        <f t="array" ref="AB488">INDEX(Datablad!$AX$70:$BE$83,AB480+2,M484)</f>
        <v>50.6</v>
      </c>
      <c r="AC488" s="4" cm="1">
        <f t="array" ref="AC488">INDEX(Datablad!$AX$70:$BE$83,AC480+2,M484)</f>
        <v>46.5</v>
      </c>
      <c r="AD488" s="4" cm="1">
        <f t="array" ref="AD488">INDEX(Datablad!$AX$70:$BE$83,AD480+2,M484)</f>
        <v>42.1</v>
      </c>
      <c r="AE488" s="4" cm="1">
        <f t="array" ref="AE488">INDEX(Datablad!$AX$70:$BE$83,AE480+2,M484)</f>
        <v>30.4</v>
      </c>
      <c r="AF488" s="4" cm="1">
        <f t="array" ref="AF488">INDEX(Datablad!$AX$70:$BE$83,AF480+2,M484)</f>
        <v>18.600000000000001</v>
      </c>
      <c r="AG488" s="4" cm="1">
        <f t="array" ref="AG488">INDEX(Datablad!$AX$70:$BE$83,AG480+2,M484)</f>
        <v>9.1</v>
      </c>
      <c r="AH488" s="4" cm="1">
        <f t="array" ref="AH488">INDEX(Datablad!$AX$70:$BE$83,AH480+2,M484)</f>
        <v>5.8</v>
      </c>
      <c r="AI488" s="10"/>
      <c r="AJ488" s="4" cm="1">
        <f t="array" ref="AJ488">INDEX(Datablad!$BG$70:$BN$83,AJ480+2,M484)</f>
        <v>5.6</v>
      </c>
      <c r="AK488" s="4" cm="1">
        <f t="array" ref="AK488">INDEX(Datablad!$BG$70:$BN$83,AK480+2,M484)</f>
        <v>9.8000000000000007</v>
      </c>
      <c r="AL488" s="4" cm="1">
        <f t="array" ref="AL488">INDEX(Datablad!$BG$70:$BN$83,AL480+2,M484)</f>
        <v>19.3</v>
      </c>
      <c r="AM488" s="4" cm="1">
        <f t="array" ref="AM488">INDEX(Datablad!$BG$70:$BN$83,AM480+2,M484)</f>
        <v>32.1</v>
      </c>
      <c r="AN488" s="4" cm="1">
        <f t="array" ref="AN488">INDEX(Datablad!$BG$70:$BN$83,AN480+2,M484)</f>
        <v>39.299999999999997</v>
      </c>
      <c r="AO488" s="4" cm="1">
        <f t="array" ref="AO488">INDEX(Datablad!$BG$70:$BN$83,AO480+2,M484)</f>
        <v>41.8</v>
      </c>
      <c r="AP488" s="4" cm="1">
        <f t="array" ref="AP488">INDEX(Datablad!$BG$70:$BN$83,AP480+2,M484)</f>
        <v>38.200000000000003</v>
      </c>
      <c r="AQ488" s="4" cm="1">
        <f t="array" ref="AQ488">INDEX(Datablad!$BG$70:$BN$83,AQ480+2,M484)</f>
        <v>35.299999999999997</v>
      </c>
      <c r="AR488" s="4" cm="1">
        <f t="array" ref="AR488">INDEX(Datablad!$BG$70:$BN$83,AR480+2,M484)</f>
        <v>24.7</v>
      </c>
      <c r="AS488" s="4" cm="1">
        <f t="array" ref="AS488">INDEX(Datablad!$BG$70:$BN$83,AS480+2,M484)</f>
        <v>14.6</v>
      </c>
      <c r="AT488" s="4" cm="1">
        <f t="array" ref="AT488">INDEX(Datablad!$BG$70:$BN$83,AT480+2,M484)</f>
        <v>6.9</v>
      </c>
      <c r="AU488" s="4" cm="1">
        <f t="array" ref="AU488">INDEX(Datablad!$BG$70:$BN$83,AU480+2,M484)</f>
        <v>4.2</v>
      </c>
      <c r="AV488">
        <v>6</v>
      </c>
      <c r="AW488" s="4" t="str">
        <f t="shared" ca="1" si="356"/>
        <v>n.v.t.</v>
      </c>
      <c r="AX488" s="4" t="str">
        <f t="shared" ca="1" si="357"/>
        <v>n.v.t.</v>
      </c>
      <c r="AY488" s="4" t="str">
        <f t="shared" ca="1" si="358"/>
        <v>n.v.t.</v>
      </c>
      <c r="AZ488" s="4" t="str">
        <f t="shared" ca="1" si="359"/>
        <v>n.v.t.</v>
      </c>
      <c r="BA488" s="4" t="str">
        <f t="shared" ca="1" si="360"/>
        <v>n.v.t.</v>
      </c>
      <c r="BB488" s="4" t="str">
        <f t="shared" ca="1" si="361"/>
        <v>n.v.t.</v>
      </c>
      <c r="BC488" s="4" t="str">
        <f t="shared" ca="1" si="362"/>
        <v>n.v.t.</v>
      </c>
      <c r="BD488" s="4" t="str">
        <f t="shared" ca="1" si="363"/>
        <v>n.v.t.</v>
      </c>
      <c r="BE488" s="4" t="str">
        <f t="shared" ca="1" si="364"/>
        <v>n.v.t.</v>
      </c>
      <c r="BF488" s="4" t="str">
        <f t="shared" ca="1" si="365"/>
        <v>n.v.t.</v>
      </c>
      <c r="BG488" s="4" t="str">
        <f t="shared" ca="1" si="366"/>
        <v>n.v.t.</v>
      </c>
      <c r="BH488" s="4" t="str">
        <f t="shared" ca="1" si="367"/>
        <v>n.v.t.</v>
      </c>
    </row>
    <row r="489" spans="9:64" x14ac:dyDescent="0.3">
      <c r="K489">
        <v>3</v>
      </c>
      <c r="L489" s="11" t="s">
        <v>184</v>
      </c>
      <c r="M489">
        <v>6</v>
      </c>
      <c r="P489">
        <v>180</v>
      </c>
      <c r="Q489">
        <v>7</v>
      </c>
      <c r="R489" t="str">
        <f ca="1">IF(N483=P489,"ja","nee")</f>
        <v>nee</v>
      </c>
      <c r="S489" t="str">
        <f ca="1">IF(AND(N483&gt;P489,N483&lt;P490),Q489,"n.v.t.")</f>
        <v>n.v.t.</v>
      </c>
      <c r="T489" t="str">
        <f t="shared" ca="1" si="355"/>
        <v>n.v.t.</v>
      </c>
      <c r="U489" t="str">
        <f ca="1">IF(S489="n.v.t.","n.v.t.",(P490-N483)/(P490-P489))</f>
        <v>n.v.t.</v>
      </c>
      <c r="V489" t="str">
        <f ca="1">IF(T489="n.v.t.","n.v.t.",(N483-P489)/(P490-P489))</f>
        <v>n.v.t.</v>
      </c>
      <c r="W489" s="4" cm="1">
        <f t="array" ref="W489">INDEX(Datablad!$BG$70:$BN$83,W480+2,M484)</f>
        <v>5.6</v>
      </c>
      <c r="X489" s="4" cm="1">
        <f t="array" ref="X489">INDEX(Datablad!$BG$70:$BN$83,X480+2,M484)</f>
        <v>9.8000000000000007</v>
      </c>
      <c r="Y489" s="4" cm="1">
        <f t="array" ref="Y489">INDEX(Datablad!$BG$70:$BN$83,Y480+2,M484)</f>
        <v>19.3</v>
      </c>
      <c r="Z489" s="4" cm="1">
        <f t="array" ref="Z489">INDEX(Datablad!$BG$70:$BN$83,Z480+2,M484)</f>
        <v>32.1</v>
      </c>
      <c r="AA489" s="4" cm="1">
        <f t="array" ref="AA489">INDEX(Datablad!$BG$70:$BN$83,AA480+2,M484)</f>
        <v>39.299999999999997</v>
      </c>
      <c r="AB489" s="4" cm="1">
        <f t="array" ref="AB489">INDEX(Datablad!$BG$70:$BN$83,AB480+2,M484)</f>
        <v>41.8</v>
      </c>
      <c r="AC489" s="4" cm="1">
        <f t="array" ref="AC489">INDEX(Datablad!$BG$70:$BN$83,AC480+2,M484)</f>
        <v>38.200000000000003</v>
      </c>
      <c r="AD489" s="4" cm="1">
        <f t="array" ref="AD489">INDEX(Datablad!$BG$70:$BN$83,AD480+2,M484)</f>
        <v>35.299999999999997</v>
      </c>
      <c r="AE489" s="4" cm="1">
        <f t="array" ref="AE489">INDEX(Datablad!$BG$70:$BN$83,AE480+2,M484)</f>
        <v>24.7</v>
      </c>
      <c r="AF489" s="4" cm="1">
        <f t="array" ref="AF489">INDEX(Datablad!$BG$70:$BN$83,AF480+2,M484)</f>
        <v>14.6</v>
      </c>
      <c r="AG489" s="4" cm="1">
        <f t="array" ref="AG489">INDEX(Datablad!$BG$70:$BN$83,AG480+2,M484)</f>
        <v>6.9</v>
      </c>
      <c r="AH489" s="4" cm="1">
        <f t="array" ref="AH489">INDEX(Datablad!$BG$70:$BN$83,AH480+2,M484)</f>
        <v>4.2</v>
      </c>
      <c r="AI489" s="10"/>
      <c r="AV489">
        <v>7</v>
      </c>
      <c r="AW489" s="4" t="str">
        <f t="shared" ca="1" si="356"/>
        <v>n.v.t.</v>
      </c>
      <c r="AX489" s="4" t="str">
        <f t="shared" ca="1" si="357"/>
        <v>n.v.t.</v>
      </c>
      <c r="AY489" s="4" t="str">
        <f t="shared" ca="1" si="358"/>
        <v>n.v.t.</v>
      </c>
      <c r="AZ489" s="4" t="str">
        <f t="shared" ca="1" si="359"/>
        <v>n.v.t.</v>
      </c>
      <c r="BA489" s="4" t="str">
        <f t="shared" ca="1" si="360"/>
        <v>n.v.t.</v>
      </c>
      <c r="BB489" s="4" t="str">
        <f t="shared" ca="1" si="361"/>
        <v>n.v.t.</v>
      </c>
      <c r="BC489" s="4" t="str">
        <f t="shared" ca="1" si="362"/>
        <v>n.v.t.</v>
      </c>
      <c r="BD489" s="4" t="str">
        <f t="shared" ca="1" si="363"/>
        <v>n.v.t.</v>
      </c>
      <c r="BE489" s="4" t="str">
        <f t="shared" ca="1" si="364"/>
        <v>n.v.t.</v>
      </c>
      <c r="BF489" s="4" t="str">
        <f t="shared" ca="1" si="365"/>
        <v>n.v.t.</v>
      </c>
      <c r="BG489" s="4" t="str">
        <f t="shared" ca="1" si="366"/>
        <v>n.v.t.</v>
      </c>
      <c r="BH489" s="4" t="str">
        <f t="shared" ca="1" si="367"/>
        <v>n.v.t.</v>
      </c>
    </row>
    <row r="490" spans="9:64" x14ac:dyDescent="0.3">
      <c r="K490">
        <v>4</v>
      </c>
      <c r="L490" s="11" t="s">
        <v>185</v>
      </c>
      <c r="M490">
        <v>7</v>
      </c>
    </row>
    <row r="491" spans="9:64" x14ac:dyDescent="0.3">
      <c r="K491">
        <v>5</v>
      </c>
      <c r="L491" s="11" t="s">
        <v>186</v>
      </c>
      <c r="M491">
        <v>8</v>
      </c>
    </row>
    <row r="492" spans="9:64" x14ac:dyDescent="0.3">
      <c r="K492">
        <v>6</v>
      </c>
      <c r="L492" s="11" t="s">
        <v>180</v>
      </c>
      <c r="M492">
        <v>1</v>
      </c>
    </row>
    <row r="493" spans="9:64" x14ac:dyDescent="0.3">
      <c r="K493">
        <v>7</v>
      </c>
      <c r="L493" s="11" t="s">
        <v>176</v>
      </c>
      <c r="M493">
        <v>2</v>
      </c>
    </row>
    <row r="494" spans="9:64" x14ac:dyDescent="0.3">
      <c r="K494">
        <v>8</v>
      </c>
      <c r="L494" s="11" t="s">
        <v>181</v>
      </c>
      <c r="M494">
        <v>3</v>
      </c>
    </row>
    <row r="495" spans="9:64" x14ac:dyDescent="0.3">
      <c r="K495">
        <v>9</v>
      </c>
      <c r="L495" s="11" t="s">
        <v>182</v>
      </c>
      <c r="M495">
        <v>4</v>
      </c>
      <c r="BL495" t="s">
        <v>66</v>
      </c>
    </row>
    <row r="496" spans="9:64" x14ac:dyDescent="0.3">
      <c r="I496" s="1" t="s">
        <v>230</v>
      </c>
      <c r="T496" t="s">
        <v>199</v>
      </c>
      <c r="U496" t="s">
        <v>172</v>
      </c>
    </row>
    <row r="497" spans="9:66" x14ac:dyDescent="0.3">
      <c r="P497" s="4">
        <v>1</v>
      </c>
      <c r="Q497" t="s">
        <v>147</v>
      </c>
      <c r="T497" t="s">
        <v>198</v>
      </c>
      <c r="U497" t="s">
        <v>200</v>
      </c>
      <c r="V497" t="s">
        <v>201</v>
      </c>
      <c r="BL497" t="s">
        <v>67</v>
      </c>
    </row>
    <row r="498" spans="9:66" x14ac:dyDescent="0.3">
      <c r="P498" s="4">
        <v>2</v>
      </c>
      <c r="Q498" t="s">
        <v>148</v>
      </c>
      <c r="T498" t="s">
        <v>196</v>
      </c>
      <c r="U498" t="s">
        <v>202</v>
      </c>
    </row>
    <row r="499" spans="9:66" x14ac:dyDescent="0.3">
      <c r="P499" s="4">
        <v>3</v>
      </c>
      <c r="Q499" t="s">
        <v>149</v>
      </c>
      <c r="T499" t="s">
        <v>196</v>
      </c>
      <c r="U499" t="s">
        <v>202</v>
      </c>
      <c r="BL499" t="s">
        <v>68</v>
      </c>
    </row>
    <row r="500" spans="9:66" x14ac:dyDescent="0.3">
      <c r="P500" s="4">
        <v>4</v>
      </c>
      <c r="Q500" t="s">
        <v>150</v>
      </c>
      <c r="T500" t="s">
        <v>196</v>
      </c>
      <c r="U500" t="s">
        <v>202</v>
      </c>
    </row>
    <row r="501" spans="9:66" x14ac:dyDescent="0.3">
      <c r="P501" s="4">
        <v>5</v>
      </c>
      <c r="Q501" t="s">
        <v>151</v>
      </c>
      <c r="T501" t="s">
        <v>197</v>
      </c>
      <c r="U501" t="s">
        <v>203</v>
      </c>
    </row>
    <row r="502" spans="9:66" x14ac:dyDescent="0.3">
      <c r="P502" s="4">
        <v>6</v>
      </c>
      <c r="Q502" t="s">
        <v>152</v>
      </c>
      <c r="T502" t="s">
        <v>197</v>
      </c>
      <c r="U502" t="s">
        <v>203</v>
      </c>
    </row>
    <row r="504" spans="9:66" x14ac:dyDescent="0.3">
      <c r="P504" t="s">
        <v>3</v>
      </c>
      <c r="Q504" t="s">
        <v>4</v>
      </c>
      <c r="R504" t="s">
        <v>5</v>
      </c>
      <c r="S504" t="s">
        <v>6</v>
      </c>
      <c r="T504" t="s">
        <v>7</v>
      </c>
      <c r="U504" t="s">
        <v>8</v>
      </c>
      <c r="V504" t="s">
        <v>9</v>
      </c>
      <c r="W504" t="s">
        <v>10</v>
      </c>
      <c r="X504" t="s">
        <v>11</v>
      </c>
      <c r="Y504" t="s">
        <v>12</v>
      </c>
      <c r="Z504" t="s">
        <v>13</v>
      </c>
      <c r="AA504" t="s">
        <v>14</v>
      </c>
    </row>
    <row r="505" spans="9:66" x14ac:dyDescent="0.3">
      <c r="M505" t="s">
        <v>234</v>
      </c>
      <c r="P505" s="18">
        <f ca="1">IF($I511=1,P512,IF(OR($I511=2,$I511=3,$I511=4),Y512,AR512))</f>
        <v>0.55000000000000004</v>
      </c>
      <c r="Q505" s="18">
        <f ca="1">IF($I511=1,P513,IF(OR($I511=2,$I511=3,$I511=4),Y513,AR513))</f>
        <v>0.57999999999999996</v>
      </c>
      <c r="R505" s="18">
        <f ca="1">IF($I511=1,P514,IF(OR($I511=2,$I511=3,$I511=4),Y514,AR514))</f>
        <v>0.49</v>
      </c>
      <c r="S505" s="18">
        <f ca="1">IF($I511=1,P515,IF(OR($I511=2,$I511=3,$I511=4),Y515,AR515))</f>
        <v>0.36</v>
      </c>
      <c r="T505" s="18">
        <f ca="1">IF($I511=1,P516,IF(OR($I511=2,$I511=3,$I511=4),Y516,AR516))</f>
        <v>0.34</v>
      </c>
      <c r="U505" s="18">
        <f ca="1">IF($I511=1,P517,IF(OR($I511=2,$I511=3,$I511=4),Y517,AR517))</f>
        <v>0.37</v>
      </c>
      <c r="V505" s="18">
        <f ca="1">IF($I511=1,P518,IF(OR($I511=2,$I511=3,$I511=4),Y518,AR518))</f>
        <v>0.41</v>
      </c>
      <c r="W505" s="18">
        <f ca="1">IF($I511=1,P519,IF(OR($I511=2,$I511=3,$I511=4),Y519,AR519))</f>
        <v>0.37</v>
      </c>
      <c r="X505" s="18">
        <f ca="1">IF($I511=1,P520,IF(OR($I511=2,$I511=3,$I511=4),Y520,AR520))</f>
        <v>0.43</v>
      </c>
      <c r="Y505" s="18">
        <f ca="1">IF($I511=1,P521,IF(OR($I511=2,$I511=3,$I511=4),Y521,AR521))</f>
        <v>0.48</v>
      </c>
      <c r="Z505" s="18">
        <f ca="1">IF($I511=1,P522,IF(OR($I511=2,$I511=3,$I511=4),Y522,AR522))</f>
        <v>0.56000000000000005</v>
      </c>
      <c r="AA505" s="18">
        <f ca="1">IF($I511=1,P523,IF(OR($I511=2,$I511=3,$I511=4),Y523,AR523))</f>
        <v>0.6</v>
      </c>
    </row>
    <row r="510" spans="9:66" x14ac:dyDescent="0.3">
      <c r="I510" t="s">
        <v>241</v>
      </c>
      <c r="N510" s="17" t="s">
        <v>245</v>
      </c>
      <c r="P510" s="15"/>
      <c r="Q510" s="15"/>
      <c r="S510" t="s">
        <v>380</v>
      </c>
      <c r="W510" s="17" t="s">
        <v>246</v>
      </c>
      <c r="Y510" s="15"/>
      <c r="Z510" s="15"/>
      <c r="AA510" s="15"/>
      <c r="AB510" s="15"/>
      <c r="AF510">
        <f ca="1">HLOOKUP(S514,Datablad!$H$96:$BQ$97,2,FALSE)</f>
        <v>1</v>
      </c>
      <c r="AG510" t="s">
        <v>249</v>
      </c>
      <c r="AL510" t="s">
        <v>380</v>
      </c>
      <c r="AP510" s="17" t="s">
        <v>247</v>
      </c>
    </row>
    <row r="511" spans="9:66" x14ac:dyDescent="0.3">
      <c r="I511" s="59" t="str">
        <f>'Drop-down'!$BG$7</f>
        <v>nvt</v>
      </c>
      <c r="O511" t="s">
        <v>231</v>
      </c>
      <c r="Q511" s="15"/>
      <c r="X511" t="s">
        <v>232</v>
      </c>
      <c r="AA511" t="s">
        <v>248</v>
      </c>
      <c r="AB511" t="s">
        <v>250</v>
      </c>
      <c r="AF511" t="e">
        <f ca="1">IF(S513=1,VLOOKUP(S512,$AE$70:$AF$72,2,FALSE),VLOOKUP(S512,$AE$73:$AF$75,2,FALSE))</f>
        <v>#N/A</v>
      </c>
      <c r="AG511" t="s">
        <v>251</v>
      </c>
      <c r="AK511" t="s">
        <v>235</v>
      </c>
      <c r="AL511" s="14" t="str">
        <f>I511</f>
        <v>nvt</v>
      </c>
      <c r="AM511" t="s">
        <v>236</v>
      </c>
      <c r="AQ511" t="s">
        <v>233</v>
      </c>
      <c r="AT511" t="s">
        <v>248</v>
      </c>
      <c r="AU511" t="s">
        <v>250</v>
      </c>
      <c r="AW511" t="s">
        <v>270</v>
      </c>
    </row>
    <row r="512" spans="9:66" x14ac:dyDescent="0.3">
      <c r="I512" t="s">
        <v>377</v>
      </c>
      <c r="O512" t="s">
        <v>3</v>
      </c>
      <c r="P512" s="15">
        <v>1</v>
      </c>
      <c r="Q512" s="15"/>
      <c r="S512" s="59" t="str">
        <f>I511</f>
        <v>nvt</v>
      </c>
      <c r="T512" t="s">
        <v>239</v>
      </c>
      <c r="X512" t="s">
        <v>71</v>
      </c>
      <c r="Y512" s="19" t="e" cm="1">
        <f t="array" aca="1" ref="Y512" ca="1">INDEX(Datablad!$H$102:$BQ$113,Rekenblad!AB512,Rekenblad!AA512)</f>
        <v>#N/A</v>
      </c>
      <c r="AA512" t="e">
        <f ca="1">AF510+AF511-1</f>
        <v>#N/A</v>
      </c>
      <c r="AB512">
        <v>1</v>
      </c>
      <c r="AD512" t="s">
        <v>218</v>
      </c>
      <c r="AF512" t="s">
        <v>248</v>
      </c>
      <c r="AG512" t="s">
        <v>252</v>
      </c>
      <c r="AL512" s="14">
        <f ca="1">I515</f>
        <v>0</v>
      </c>
      <c r="AM512" t="s">
        <v>174</v>
      </c>
      <c r="AQ512" t="s">
        <v>71</v>
      </c>
      <c r="AR512" s="19" cm="1">
        <f t="array" aca="1" ref="AR512" ca="1">INDEX(Datablad!$H$123:$DU$134,Rekenblad!AU512,Rekenblad!AT512)</f>
        <v>0.55000000000000004</v>
      </c>
      <c r="AT512">
        <f ca="1">$AX521+$AX519</f>
        <v>7</v>
      </c>
      <c r="AU512">
        <v>1</v>
      </c>
      <c r="AW512" t="s">
        <v>267</v>
      </c>
      <c r="AX512" t="s">
        <v>261</v>
      </c>
      <c r="AY512" s="9" t="s">
        <v>257</v>
      </c>
      <c r="AZ512" s="9" t="s">
        <v>256</v>
      </c>
      <c r="BA512" s="9" t="s">
        <v>255</v>
      </c>
      <c r="BB512" s="9" t="s">
        <v>262</v>
      </c>
      <c r="BC512" s="9" t="s">
        <v>254</v>
      </c>
      <c r="BD512" s="9" t="s">
        <v>253</v>
      </c>
      <c r="BE512" t="s">
        <v>264</v>
      </c>
      <c r="BF512" s="9" t="s">
        <v>263</v>
      </c>
      <c r="BG512" s="9" t="s">
        <v>258</v>
      </c>
      <c r="BH512" s="9" t="s">
        <v>259</v>
      </c>
      <c r="BI512" s="9" t="s">
        <v>265</v>
      </c>
      <c r="BJ512" s="9" t="s">
        <v>260</v>
      </c>
      <c r="BL512" s="9" t="s">
        <v>259</v>
      </c>
      <c r="BM512" s="9" t="s">
        <v>265</v>
      </c>
      <c r="BN512" s="9" t="s">
        <v>260</v>
      </c>
    </row>
    <row r="513" spans="9:66" x14ac:dyDescent="0.3">
      <c r="I513" s="58">
        <f ca="1">IF('Drop-down'!$BJ$7=3,2,1)</f>
        <v>1</v>
      </c>
      <c r="O513" t="s">
        <v>4</v>
      </c>
      <c r="P513" s="15">
        <v>1</v>
      </c>
      <c r="Q513" s="15"/>
      <c r="S513" s="59">
        <f ca="1">I513</f>
        <v>1</v>
      </c>
      <c r="T513" t="s">
        <v>240</v>
      </c>
      <c r="X513" t="s">
        <v>73</v>
      </c>
      <c r="Y513" s="19" t="e" cm="1">
        <f t="array" aca="1" ref="Y513" ca="1">INDEX(Datablad!$H$102:$BQ$113,Rekenblad!AB513,Rekenblad!AA513)</f>
        <v>#N/A</v>
      </c>
      <c r="AA513" t="e">
        <f ca="1">AF510+AF511-1</f>
        <v>#N/A</v>
      </c>
      <c r="AB513">
        <v>2</v>
      </c>
      <c r="AD513">
        <v>1</v>
      </c>
      <c r="AE513" s="15">
        <v>2</v>
      </c>
      <c r="AF513" s="15">
        <v>1</v>
      </c>
      <c r="AM513" t="s">
        <v>237</v>
      </c>
      <c r="AQ513" t="s">
        <v>73</v>
      </c>
      <c r="AR513" s="19" cm="1">
        <f t="array" aca="1" ref="AR513" ca="1">INDEX(Datablad!$H$123:$DU$134,Rekenblad!AU513,Rekenblad!AT513)</f>
        <v>0.57999999999999996</v>
      </c>
      <c r="AT513">
        <f ca="1">$AX521+$AX519</f>
        <v>7</v>
      </c>
      <c r="AU513">
        <v>2</v>
      </c>
      <c r="AW513" t="s">
        <v>248</v>
      </c>
      <c r="AX513">
        <v>0</v>
      </c>
      <c r="AY513">
        <v>1</v>
      </c>
      <c r="AZ513">
        <v>2</v>
      </c>
      <c r="BA513">
        <v>3</v>
      </c>
      <c r="BB513">
        <v>4</v>
      </c>
      <c r="BC513">
        <v>5</v>
      </c>
      <c r="BD513">
        <v>6</v>
      </c>
      <c r="BE513">
        <v>7</v>
      </c>
      <c r="BF513">
        <v>8</v>
      </c>
      <c r="BG513">
        <v>9</v>
      </c>
      <c r="BH513">
        <v>10</v>
      </c>
      <c r="BI513">
        <v>11</v>
      </c>
      <c r="BJ513">
        <v>12</v>
      </c>
      <c r="BL513">
        <v>10</v>
      </c>
      <c r="BM513">
        <v>11</v>
      </c>
      <c r="BN513">
        <v>12</v>
      </c>
    </row>
    <row r="514" spans="9:66" x14ac:dyDescent="0.3">
      <c r="I514" t="s">
        <v>376</v>
      </c>
      <c r="O514" t="s">
        <v>5</v>
      </c>
      <c r="P514" s="15">
        <v>1</v>
      </c>
      <c r="Q514" s="15"/>
      <c r="S514" s="58" t="str">
        <f ca="1">I518</f>
        <v>Z</v>
      </c>
      <c r="T514" t="s">
        <v>379</v>
      </c>
      <c r="X514" t="s">
        <v>74</v>
      </c>
      <c r="Y514" s="19" t="e" cm="1">
        <f t="array" aca="1" ref="Y514" ca="1">INDEX(Datablad!$H$102:$BQ$113,Rekenblad!AB514,Rekenblad!AA514)</f>
        <v>#N/A</v>
      </c>
      <c r="AA514" t="e">
        <f ca="1">AF510+AF511-1</f>
        <v>#N/A</v>
      </c>
      <c r="AB514">
        <v>3</v>
      </c>
      <c r="AD514">
        <v>1</v>
      </c>
      <c r="AE514" s="15">
        <v>3</v>
      </c>
      <c r="AF514" s="15">
        <v>3</v>
      </c>
      <c r="AM514" t="s">
        <v>238</v>
      </c>
      <c r="AQ514" t="s">
        <v>74</v>
      </c>
      <c r="AR514" s="19" cm="1">
        <f t="array" aca="1" ref="AR514" ca="1">INDEX(Datablad!$H$123:$DU$134,Rekenblad!AU514,Rekenblad!AT514)</f>
        <v>0.49</v>
      </c>
      <c r="AT514">
        <f ca="1">$AX521+$AX519</f>
        <v>7</v>
      </c>
      <c r="AU514">
        <v>3</v>
      </c>
      <c r="AW514" t="s">
        <v>266</v>
      </c>
      <c r="AX514">
        <f>AY514+15</f>
        <v>83</v>
      </c>
      <c r="AY514">
        <f>AZ514+15</f>
        <v>68</v>
      </c>
      <c r="AZ514">
        <f>BA514+15</f>
        <v>53</v>
      </c>
      <c r="BA514">
        <f>BB514+15</f>
        <v>38</v>
      </c>
      <c r="BB514">
        <f>BC514+15</f>
        <v>23</v>
      </c>
      <c r="BC514">
        <f>BD514+8</f>
        <v>8</v>
      </c>
      <c r="BD514">
        <v>0</v>
      </c>
      <c r="BE514">
        <f>AX514+15</f>
        <v>98</v>
      </c>
      <c r="BF514">
        <f>BE514+15</f>
        <v>113</v>
      </c>
      <c r="BG514">
        <f>BF514+15</f>
        <v>128</v>
      </c>
      <c r="BH514">
        <f>BG514+15</f>
        <v>143</v>
      </c>
      <c r="BI514">
        <f>BH514+15</f>
        <v>158</v>
      </c>
      <c r="BJ514">
        <f>BI514+15</f>
        <v>173</v>
      </c>
      <c r="BL514">
        <f>BK514+15</f>
        <v>15</v>
      </c>
      <c r="BM514">
        <f>BL514+15</f>
        <v>30</v>
      </c>
      <c r="BN514">
        <f>BM514+15</f>
        <v>45</v>
      </c>
    </row>
    <row r="515" spans="9:66" x14ac:dyDescent="0.3">
      <c r="I515" s="14">
        <f ca="1">IF('Drop-down'!$BA$7="vul in",0,'Drop-down'!$BA$7)</f>
        <v>0</v>
      </c>
      <c r="O515" t="s">
        <v>6</v>
      </c>
      <c r="P515" s="15">
        <v>1</v>
      </c>
      <c r="Q515" s="15"/>
      <c r="X515" t="s">
        <v>75</v>
      </c>
      <c r="Y515" s="19" t="e" cm="1">
        <f t="array" aca="1" ref="Y515" ca="1">INDEX(Datablad!$H$102:$BQ$113,Rekenblad!AB515,Rekenblad!AA515)</f>
        <v>#N/A</v>
      </c>
      <c r="AA515" t="e">
        <f ca="1">AF510+AF511-1</f>
        <v>#N/A</v>
      </c>
      <c r="AB515">
        <v>4</v>
      </c>
      <c r="AD515">
        <v>1</v>
      </c>
      <c r="AE515" s="15">
        <v>4</v>
      </c>
      <c r="AF515" s="15">
        <v>5</v>
      </c>
      <c r="AL515" s="58" t="str">
        <f ca="1">I518</f>
        <v>Z</v>
      </c>
      <c r="AQ515" t="s">
        <v>75</v>
      </c>
      <c r="AR515" s="19" cm="1">
        <f t="array" aca="1" ref="AR515" ca="1">INDEX(Datablad!$H$123:$DU$134,Rekenblad!AU515,Rekenblad!AT515)</f>
        <v>0.36</v>
      </c>
      <c r="AT515">
        <f ca="1">$AX521+$AX519</f>
        <v>7</v>
      </c>
      <c r="AU515">
        <v>4</v>
      </c>
      <c r="AW515" t="s">
        <v>271</v>
      </c>
    </row>
    <row r="516" spans="9:66" x14ac:dyDescent="0.3">
      <c r="I516" t="s">
        <v>378</v>
      </c>
      <c r="O516" t="s">
        <v>7</v>
      </c>
      <c r="P516" s="15">
        <v>1</v>
      </c>
      <c r="Q516" s="15"/>
      <c r="X516" t="s">
        <v>76</v>
      </c>
      <c r="Y516" s="19" t="e" cm="1">
        <f t="array" aca="1" ref="Y516" ca="1">INDEX(Datablad!$H$102:$BQ$113,Rekenblad!AB516,Rekenblad!AA516)</f>
        <v>#N/A</v>
      </c>
      <c r="AA516" t="e">
        <f ca="1">AF510+AF511-1</f>
        <v>#N/A</v>
      </c>
      <c r="AB516">
        <v>5</v>
      </c>
      <c r="AD516">
        <v>2</v>
      </c>
      <c r="AE516" s="15">
        <v>2</v>
      </c>
      <c r="AF516" s="15">
        <v>2</v>
      </c>
      <c r="AQ516" t="s">
        <v>76</v>
      </c>
      <c r="AR516" s="19" cm="1">
        <f t="array" aca="1" ref="AR516" ca="1">INDEX(Datablad!$H$123:$DU$134,Rekenblad!AU516,Rekenblad!AT516)</f>
        <v>0.34</v>
      </c>
      <c r="AT516">
        <f ca="1">$AX521+$AX519</f>
        <v>7</v>
      </c>
      <c r="AU516">
        <v>5</v>
      </c>
      <c r="AW516" t="s">
        <v>248</v>
      </c>
      <c r="AX516">
        <f>BJ513</f>
        <v>12</v>
      </c>
      <c r="AY516">
        <f>BI513</f>
        <v>11</v>
      </c>
      <c r="AZ516">
        <f>BH513</f>
        <v>10</v>
      </c>
      <c r="BA516">
        <f>BG513</f>
        <v>9</v>
      </c>
      <c r="BB516">
        <f>BF513</f>
        <v>8</v>
      </c>
      <c r="BC516">
        <f>BE513</f>
        <v>7</v>
      </c>
      <c r="BD516">
        <f t="shared" ref="BD516:BD517" si="368">AX513</f>
        <v>0</v>
      </c>
      <c r="BE516">
        <f t="shared" ref="BE516:BE517" si="369">AY513</f>
        <v>1</v>
      </c>
      <c r="BF516">
        <f t="shared" ref="BF516:BF517" si="370">AZ513</f>
        <v>2</v>
      </c>
      <c r="BG516">
        <f t="shared" ref="BG516:BG517" si="371">BA513</f>
        <v>3</v>
      </c>
      <c r="BH516">
        <f t="shared" ref="BH516:BH517" si="372">BB513</f>
        <v>4</v>
      </c>
      <c r="BI516">
        <f t="shared" ref="BI516:BI517" si="373">BC513</f>
        <v>5</v>
      </c>
      <c r="BJ516">
        <f t="shared" ref="BJ516:BJ517" si="374">BD513</f>
        <v>6</v>
      </c>
      <c r="BL516">
        <f t="shared" ref="BL516:BL517" si="375">BF513</f>
        <v>8</v>
      </c>
      <c r="BM516">
        <f t="shared" ref="BM516:BM517" si="376">BG513</f>
        <v>9</v>
      </c>
      <c r="BN516">
        <f t="shared" ref="BN516:BN517" si="377">BH513</f>
        <v>10</v>
      </c>
    </row>
    <row r="517" spans="9:66" x14ac:dyDescent="0.3">
      <c r="I517" s="58" t="str">
        <f>M485</f>
        <v>ho</v>
      </c>
      <c r="O517" t="s">
        <v>8</v>
      </c>
      <c r="P517" s="15">
        <v>1</v>
      </c>
      <c r="Q517" s="15"/>
      <c r="X517" t="s">
        <v>77</v>
      </c>
      <c r="Y517" s="19" t="e" cm="1">
        <f t="array" aca="1" ref="Y517" ca="1">INDEX(Datablad!$H$102:$BQ$113,Rekenblad!AB517,Rekenblad!AA517)</f>
        <v>#N/A</v>
      </c>
      <c r="AA517" t="e">
        <f ca="1">AF510+AF511-1</f>
        <v>#N/A</v>
      </c>
      <c r="AB517">
        <v>6</v>
      </c>
      <c r="AD517">
        <v>2</v>
      </c>
      <c r="AE517" s="15">
        <v>3</v>
      </c>
      <c r="AF517" s="15">
        <v>4</v>
      </c>
      <c r="AQ517" t="s">
        <v>77</v>
      </c>
      <c r="AR517" s="19" cm="1">
        <f t="array" aca="1" ref="AR517" ca="1">INDEX(Datablad!$H$123:$DU$134,Rekenblad!AU517,Rekenblad!AT517)</f>
        <v>0.37</v>
      </c>
      <c r="AT517">
        <f ca="1">$AX521+$AX519</f>
        <v>7</v>
      </c>
      <c r="AU517">
        <v>6</v>
      </c>
      <c r="AW517" t="s">
        <v>268</v>
      </c>
      <c r="AX517">
        <f>BJ514</f>
        <v>173</v>
      </c>
      <c r="AY517">
        <f>BI514</f>
        <v>158</v>
      </c>
      <c r="AZ517">
        <f>BH514</f>
        <v>143</v>
      </c>
      <c r="BA517">
        <f>BG514</f>
        <v>128</v>
      </c>
      <c r="BB517">
        <f>BF514</f>
        <v>113</v>
      </c>
      <c r="BC517">
        <f>BE514</f>
        <v>98</v>
      </c>
      <c r="BD517">
        <f t="shared" si="368"/>
        <v>83</v>
      </c>
      <c r="BE517">
        <f t="shared" si="369"/>
        <v>68</v>
      </c>
      <c r="BF517">
        <f t="shared" si="370"/>
        <v>53</v>
      </c>
      <c r="BG517">
        <f t="shared" si="371"/>
        <v>38</v>
      </c>
      <c r="BH517">
        <f t="shared" si="372"/>
        <v>23</v>
      </c>
      <c r="BI517">
        <f t="shared" si="373"/>
        <v>8</v>
      </c>
      <c r="BJ517">
        <f t="shared" si="374"/>
        <v>0</v>
      </c>
      <c r="BL517">
        <f t="shared" si="375"/>
        <v>113</v>
      </c>
      <c r="BM517">
        <f t="shared" si="376"/>
        <v>128</v>
      </c>
      <c r="BN517">
        <f t="shared" si="377"/>
        <v>143</v>
      </c>
    </row>
    <row r="518" spans="9:66" x14ac:dyDescent="0.3">
      <c r="I518" t="str">
        <f ca="1">IF(I515&lt;15,"Z",IF(I517="ho","Z",I517))</f>
        <v>Z</v>
      </c>
      <c r="O518" t="s">
        <v>9</v>
      </c>
      <c r="P518" s="15">
        <v>1</v>
      </c>
      <c r="Q518" s="15"/>
      <c r="X518" t="s">
        <v>78</v>
      </c>
      <c r="Y518" s="19" t="e" cm="1">
        <f t="array" aca="1" ref="Y518" ca="1">INDEX(Datablad!$H$102:$BQ$113,Rekenblad!AB518,Rekenblad!AA518)</f>
        <v>#N/A</v>
      </c>
      <c r="AA518" t="e">
        <f ca="1">AF510+AF511-1</f>
        <v>#N/A</v>
      </c>
      <c r="AB518">
        <v>7</v>
      </c>
      <c r="AD518">
        <v>2</v>
      </c>
      <c r="AE518" s="15">
        <v>4</v>
      </c>
      <c r="AF518" s="15">
        <v>6</v>
      </c>
      <c r="AQ518" t="s">
        <v>78</v>
      </c>
      <c r="AR518" s="19" cm="1">
        <f t="array" aca="1" ref="AR518" ca="1">INDEX(Datablad!$H$123:$DU$134,Rekenblad!AU518,Rekenblad!AT518)</f>
        <v>0.41</v>
      </c>
      <c r="AT518">
        <f ca="1">$AX521+$AX519</f>
        <v>7</v>
      </c>
      <c r="AU518">
        <v>7</v>
      </c>
      <c r="AW518" t="s">
        <v>174</v>
      </c>
      <c r="AX518">
        <f ca="1">AL512</f>
        <v>0</v>
      </c>
    </row>
    <row r="519" spans="9:66" x14ac:dyDescent="0.3">
      <c r="I519" t="s">
        <v>371</v>
      </c>
      <c r="O519" t="s">
        <v>10</v>
      </c>
      <c r="P519" s="15">
        <v>1</v>
      </c>
      <c r="Q519" s="15"/>
      <c r="X519" t="s">
        <v>79</v>
      </c>
      <c r="Y519" s="19" t="e" cm="1">
        <f t="array" aca="1" ref="Y519" ca="1">INDEX(Datablad!$H$102:$BQ$113,Rekenblad!AB519,Rekenblad!AA519)</f>
        <v>#N/A</v>
      </c>
      <c r="AA519" t="e">
        <f ca="1">AF510+AF511-1</f>
        <v>#N/A</v>
      </c>
      <c r="AB519">
        <v>8</v>
      </c>
      <c r="AQ519" t="s">
        <v>79</v>
      </c>
      <c r="AR519" s="19" cm="1">
        <f t="array" aca="1" ref="AR519" ca="1">INDEX(Datablad!$H$123:$DU$134,Rekenblad!AU519,Rekenblad!AT519)</f>
        <v>0.37</v>
      </c>
      <c r="AT519">
        <f ca="1">$AX521+$AX519</f>
        <v>7</v>
      </c>
      <c r="AU519">
        <v>8</v>
      </c>
      <c r="AW519" t="s">
        <v>269</v>
      </c>
      <c r="AX519">
        <f ca="1">IF(AX518&gt;=AX517,AX516,IF(AX518&gt;=AY517,AY516,IF(AX518&gt;=AZ517,AZ516,IF(AX518&gt;=BA517,BA516,IF(AX518&gt;=BB517,BB516,IF(AX518&gt;=BC517,BC516,IF(AX518&gt;=BD517,BD516,IF(AX518&gt;=BE517,BE516,IF(AX518&gt;=BF517,BF516,IF(AX518&gt;=BG517,BG516,IF(AX518&gt;=BH517,BH516,IF(AX518&gt;=BI517,BI516,IF(AX518&gt;=BJ517,BJ516)))))))))))))</f>
        <v>6</v>
      </c>
    </row>
    <row r="520" spans="9:66" x14ac:dyDescent="0.3">
      <c r="O520" t="s">
        <v>11</v>
      </c>
      <c r="P520" s="15">
        <v>1</v>
      </c>
      <c r="Q520" s="15"/>
      <c r="X520" t="s">
        <v>80</v>
      </c>
      <c r="Y520" s="19" t="e" cm="1">
        <f t="array" aca="1" ref="Y520" ca="1">INDEX(Datablad!$H$102:$BQ$113,Rekenblad!AB520,Rekenblad!AA520)</f>
        <v>#N/A</v>
      </c>
      <c r="AA520" t="e">
        <f ca="1">AF510+AF511-1</f>
        <v>#N/A</v>
      </c>
      <c r="AB520">
        <v>9</v>
      </c>
      <c r="AQ520" t="s">
        <v>80</v>
      </c>
      <c r="AR520" s="19" cm="1">
        <f t="array" aca="1" ref="AR520" ca="1">INDEX(Datablad!$H$123:$DU$134,Rekenblad!AU520,Rekenblad!AT520)</f>
        <v>0.43</v>
      </c>
      <c r="AT520">
        <f ca="1">$AX521+$AX519</f>
        <v>7</v>
      </c>
      <c r="AU520">
        <v>9</v>
      </c>
    </row>
    <row r="521" spans="9:66" x14ac:dyDescent="0.3">
      <c r="O521" t="s">
        <v>12</v>
      </c>
      <c r="P521" s="15">
        <v>1</v>
      </c>
      <c r="Q521" s="15"/>
      <c r="X521" t="s">
        <v>81</v>
      </c>
      <c r="Y521" s="19" t="e" cm="1">
        <f t="array" aca="1" ref="Y521" ca="1">INDEX(Datablad!$H$102:$BQ$113,Rekenblad!AB521,Rekenblad!AA521)</f>
        <v>#N/A</v>
      </c>
      <c r="AA521" t="e">
        <f ca="1">AF510+AF511-1</f>
        <v>#N/A</v>
      </c>
      <c r="AB521">
        <v>10</v>
      </c>
      <c r="AQ521" t="s">
        <v>81</v>
      </c>
      <c r="AR521" s="19" cm="1">
        <f t="array" aca="1" ref="AR521" ca="1">INDEX(Datablad!$H$123:$DU$134,Rekenblad!AU521,Rekenblad!AT521)</f>
        <v>0.48</v>
      </c>
      <c r="AT521">
        <f ca="1">$AX521+$AX519</f>
        <v>7</v>
      </c>
      <c r="AU521">
        <v>10</v>
      </c>
      <c r="AX521">
        <f ca="1">HLOOKUP(AL515,Datablad!$H$115:$DU$116,2,FALSE)</f>
        <v>1</v>
      </c>
      <c r="AY521" t="s">
        <v>272</v>
      </c>
    </row>
    <row r="522" spans="9:66" x14ac:dyDescent="0.3">
      <c r="O522" t="s">
        <v>13</v>
      </c>
      <c r="P522" s="15">
        <v>1</v>
      </c>
      <c r="Q522" s="15"/>
      <c r="X522" t="s">
        <v>82</v>
      </c>
      <c r="Y522" s="19" t="e" cm="1">
        <f t="array" aca="1" ref="Y522" ca="1">INDEX(Datablad!$H$102:$BQ$113,Rekenblad!AB522,Rekenblad!AA522)</f>
        <v>#N/A</v>
      </c>
      <c r="AA522" t="e">
        <f ca="1">AF510+AF511-1</f>
        <v>#N/A</v>
      </c>
      <c r="AB522">
        <v>11</v>
      </c>
      <c r="AQ522" t="s">
        <v>82</v>
      </c>
      <c r="AR522" s="19" cm="1">
        <f t="array" aca="1" ref="AR522" ca="1">INDEX(Datablad!$H$123:$DU$134,Rekenblad!AU522,Rekenblad!AT522)</f>
        <v>0.56000000000000005</v>
      </c>
      <c r="AT522">
        <f ca="1">$AX521+$AX519</f>
        <v>7</v>
      </c>
      <c r="AU522">
        <v>11</v>
      </c>
      <c r="AY522" t="s">
        <v>273</v>
      </c>
    </row>
    <row r="523" spans="9:66" x14ac:dyDescent="0.3">
      <c r="O523" t="s">
        <v>14</v>
      </c>
      <c r="P523" s="15">
        <v>1</v>
      </c>
      <c r="Q523" s="15"/>
      <c r="X523" t="s">
        <v>83</v>
      </c>
      <c r="Y523" s="19" t="e" cm="1">
        <f t="array" aca="1" ref="Y523" ca="1">INDEX(Datablad!$H$102:$BQ$113,Rekenblad!AB523,Rekenblad!AA523)</f>
        <v>#N/A</v>
      </c>
      <c r="AA523" t="e">
        <f ca="1">AF510+AF511-1</f>
        <v>#N/A</v>
      </c>
      <c r="AB523">
        <v>12</v>
      </c>
      <c r="AQ523" t="s">
        <v>83</v>
      </c>
      <c r="AR523" s="19" cm="1">
        <f t="array" aca="1" ref="AR523" ca="1">INDEX(Datablad!$H$123:$DU$134,Rekenblad!AU523,Rekenblad!AT523)</f>
        <v>0.6</v>
      </c>
      <c r="AT523">
        <f ca="1">$AX521+$AX519</f>
        <v>7</v>
      </c>
      <c r="AU523">
        <v>12</v>
      </c>
      <c r="AY523" s="15"/>
    </row>
    <row r="524" spans="9:66" x14ac:dyDescent="0.3">
      <c r="T524" s="15"/>
      <c r="U524" s="15"/>
      <c r="V524" s="15"/>
      <c r="W524" s="15"/>
      <c r="X524" s="15"/>
      <c r="Y524" s="15"/>
      <c r="Z524" s="15"/>
      <c r="AA524" s="15"/>
      <c r="AB524" s="15"/>
    </row>
    <row r="526" spans="9:66" x14ac:dyDescent="0.3">
      <c r="I526" s="1" t="s">
        <v>242</v>
      </c>
      <c r="M526" t="str">
        <f t="shared" ref="M526" si="378">P504</f>
        <v>januari</v>
      </c>
      <c r="N526" t="str">
        <f t="shared" ref="N526:N527" si="379">Q504</f>
        <v>februari</v>
      </c>
      <c r="O526" t="str">
        <f t="shared" ref="O526:O527" si="380">R504</f>
        <v>maart</v>
      </c>
      <c r="P526" t="str">
        <f t="shared" ref="P526:P527" si="381">S504</f>
        <v>april</v>
      </c>
      <c r="Q526" t="str">
        <f t="shared" ref="Q526:Q527" si="382">T504</f>
        <v>mei</v>
      </c>
      <c r="R526" t="str">
        <f t="shared" ref="R526:R527" si="383">U504</f>
        <v>juni</v>
      </c>
      <c r="S526" t="str">
        <f t="shared" ref="S526:S527" si="384">V504</f>
        <v>juli</v>
      </c>
      <c r="T526" t="str">
        <f t="shared" ref="T526:T527" si="385">W504</f>
        <v>augustus</v>
      </c>
      <c r="U526" t="str">
        <f t="shared" ref="U526:U527" si="386">X504</f>
        <v>september</v>
      </c>
      <c r="V526" t="str">
        <f t="shared" ref="V526:V527" si="387">Y504</f>
        <v>oktober</v>
      </c>
      <c r="W526" t="str">
        <f t="shared" ref="W526:W527" si="388">Z504</f>
        <v>november</v>
      </c>
      <c r="X526" t="str">
        <f t="shared" ref="X526:X527" si="389">AA504</f>
        <v>december</v>
      </c>
    </row>
    <row r="527" spans="9:66" x14ac:dyDescent="0.3">
      <c r="I527" s="1"/>
      <c r="L527" t="s">
        <v>114</v>
      </c>
      <c r="M527">
        <f ca="1">P505</f>
        <v>0.55000000000000004</v>
      </c>
      <c r="N527">
        <f t="shared" ca="1" si="379"/>
        <v>0.57999999999999996</v>
      </c>
      <c r="O527">
        <f t="shared" ca="1" si="380"/>
        <v>0.49</v>
      </c>
      <c r="P527">
        <f t="shared" ca="1" si="381"/>
        <v>0.36</v>
      </c>
      <c r="Q527">
        <f t="shared" ca="1" si="382"/>
        <v>0.34</v>
      </c>
      <c r="R527">
        <f t="shared" ca="1" si="383"/>
        <v>0.37</v>
      </c>
      <c r="S527">
        <f t="shared" ca="1" si="384"/>
        <v>0.41</v>
      </c>
      <c r="T527">
        <f t="shared" ca="1" si="385"/>
        <v>0.37</v>
      </c>
      <c r="U527">
        <f t="shared" ca="1" si="386"/>
        <v>0.43</v>
      </c>
      <c r="V527">
        <f t="shared" ca="1" si="387"/>
        <v>0.48</v>
      </c>
      <c r="W527">
        <f t="shared" ca="1" si="388"/>
        <v>0.56000000000000005</v>
      </c>
      <c r="X527">
        <f t="shared" ca="1" si="389"/>
        <v>0.6</v>
      </c>
    </row>
    <row r="528" spans="9:66" x14ac:dyDescent="0.3">
      <c r="I528" s="1" t="s">
        <v>244</v>
      </c>
    </row>
    <row r="529" spans="6:24" x14ac:dyDescent="0.3">
      <c r="I529" s="4" t="s">
        <v>114</v>
      </c>
      <c r="J529" s="4" t="s">
        <v>243</v>
      </c>
      <c r="L529" t="s">
        <v>109</v>
      </c>
      <c r="M529" s="18">
        <f ca="1">IF(M527&lt;=0.8,$J$107,(VLOOKUP(M527,$I$87:$J$107,2,FALSE)))</f>
        <v>0.75</v>
      </c>
      <c r="N529" s="18">
        <f t="shared" ref="N529:X529" ca="1" si="390">IF(N527&lt;=0.8,$J$107,(VLOOKUP(N527,$I$87:$J$107,2,FALSE)))</f>
        <v>0.75</v>
      </c>
      <c r="O529" s="18">
        <f t="shared" ca="1" si="390"/>
        <v>0.75</v>
      </c>
      <c r="P529" s="18">
        <f t="shared" ca="1" si="390"/>
        <v>0.75</v>
      </c>
      <c r="Q529" s="18">
        <f t="shared" ca="1" si="390"/>
        <v>0.75</v>
      </c>
      <c r="R529" s="18">
        <f t="shared" ca="1" si="390"/>
        <v>0.75</v>
      </c>
      <c r="S529" s="18">
        <f t="shared" ca="1" si="390"/>
        <v>0.75</v>
      </c>
      <c r="T529" s="18">
        <f t="shared" ca="1" si="390"/>
        <v>0.75</v>
      </c>
      <c r="U529" s="18">
        <f t="shared" ca="1" si="390"/>
        <v>0.75</v>
      </c>
      <c r="V529" s="18">
        <f t="shared" ca="1" si="390"/>
        <v>0.75</v>
      </c>
      <c r="W529" s="18">
        <f t="shared" ca="1" si="390"/>
        <v>0.75</v>
      </c>
      <c r="X529" s="18">
        <f t="shared" ca="1" si="390"/>
        <v>0.75</v>
      </c>
    </row>
    <row r="530" spans="6:24" x14ac:dyDescent="0.3">
      <c r="I530" s="4">
        <v>1</v>
      </c>
      <c r="J530" s="4">
        <v>1</v>
      </c>
    </row>
    <row r="531" spans="6:24" x14ac:dyDescent="0.3">
      <c r="I531" s="4">
        <v>0.99</v>
      </c>
      <c r="J531" s="4">
        <v>0.99</v>
      </c>
    </row>
    <row r="532" spans="6:24" x14ac:dyDescent="0.3">
      <c r="I532" s="4">
        <v>0.98</v>
      </c>
      <c r="J532" s="4">
        <v>0.98</v>
      </c>
    </row>
    <row r="533" spans="6:24" x14ac:dyDescent="0.3">
      <c r="I533" s="4">
        <v>0.97</v>
      </c>
      <c r="J533" s="4">
        <v>0.97</v>
      </c>
    </row>
    <row r="534" spans="6:24" x14ac:dyDescent="0.3">
      <c r="I534" s="4">
        <v>0.96</v>
      </c>
      <c r="J534" s="4">
        <v>0.96</v>
      </c>
    </row>
    <row r="535" spans="6:24" x14ac:dyDescent="0.3">
      <c r="I535" s="4">
        <v>0.95</v>
      </c>
      <c r="J535" s="4">
        <v>0.95</v>
      </c>
    </row>
    <row r="536" spans="6:24" x14ac:dyDescent="0.3">
      <c r="I536" s="4">
        <v>0.94</v>
      </c>
      <c r="J536" s="4">
        <f>0.89+4/5*0.06</f>
        <v>0.93800000000000006</v>
      </c>
    </row>
    <row r="537" spans="6:24" x14ac:dyDescent="0.3">
      <c r="I537" s="4">
        <v>0.93</v>
      </c>
      <c r="J537" s="4">
        <f>0.89+3/5*0.06</f>
        <v>0.92600000000000005</v>
      </c>
    </row>
    <row r="538" spans="6:24" x14ac:dyDescent="0.3">
      <c r="F538" s="15"/>
      <c r="G538" s="15"/>
      <c r="I538" s="4">
        <v>0.92</v>
      </c>
      <c r="J538" s="4">
        <f>0.89+2/5*0.06</f>
        <v>0.91400000000000003</v>
      </c>
    </row>
    <row r="539" spans="6:24" x14ac:dyDescent="0.3">
      <c r="I539" s="4">
        <v>0.91</v>
      </c>
      <c r="J539" s="4">
        <f>0.89+1/5*0.06</f>
        <v>0.90200000000000002</v>
      </c>
    </row>
    <row r="540" spans="6:24" x14ac:dyDescent="0.3">
      <c r="I540" s="4">
        <v>0.9</v>
      </c>
      <c r="J540" s="4">
        <v>0.89</v>
      </c>
    </row>
    <row r="541" spans="6:24" x14ac:dyDescent="0.3">
      <c r="I541" s="4">
        <v>0.89</v>
      </c>
      <c r="J541" s="4">
        <f>0.82+4/5*0.07</f>
        <v>0.876</v>
      </c>
    </row>
    <row r="542" spans="6:24" x14ac:dyDescent="0.3">
      <c r="I542" s="4">
        <v>0.88</v>
      </c>
      <c r="J542" s="4">
        <f>0.82+3/5*0.07</f>
        <v>0.86199999999999999</v>
      </c>
    </row>
    <row r="543" spans="6:24" x14ac:dyDescent="0.3">
      <c r="I543" s="4">
        <v>0.87</v>
      </c>
      <c r="J543" s="4">
        <f>0.82+2/5*0.07</f>
        <v>0.84799999999999998</v>
      </c>
    </row>
    <row r="544" spans="6:24" x14ac:dyDescent="0.3">
      <c r="I544" s="4">
        <v>0.86</v>
      </c>
      <c r="J544" s="4">
        <f>0.82+1/5*0.07</f>
        <v>0.83399999999999996</v>
      </c>
    </row>
    <row r="545" spans="2:64" x14ac:dyDescent="0.3">
      <c r="I545" s="4">
        <v>0.85</v>
      </c>
      <c r="J545" s="4">
        <v>0.82</v>
      </c>
    </row>
    <row r="546" spans="2:64" x14ac:dyDescent="0.3">
      <c r="I546" s="4">
        <v>0.84</v>
      </c>
      <c r="J546" s="4">
        <f>0.75+4/5*0.07</f>
        <v>0.80600000000000005</v>
      </c>
    </row>
    <row r="547" spans="2:64" x14ac:dyDescent="0.3">
      <c r="I547" s="4">
        <v>0.83</v>
      </c>
      <c r="J547" s="4">
        <f>0.75+3/5*0.07</f>
        <v>0.79200000000000004</v>
      </c>
    </row>
    <row r="548" spans="2:64" x14ac:dyDescent="0.3">
      <c r="I548" s="4">
        <v>0.82</v>
      </c>
      <c r="J548" s="4">
        <f>0.75+2/5*0.07</f>
        <v>0.77800000000000002</v>
      </c>
    </row>
    <row r="549" spans="2:64" x14ac:dyDescent="0.3">
      <c r="I549" s="4">
        <v>0.81</v>
      </c>
      <c r="J549" s="4">
        <f>0.75+1/5*0.07</f>
        <v>0.76400000000000001</v>
      </c>
    </row>
    <row r="550" spans="2:64" x14ac:dyDescent="0.3">
      <c r="I550" s="4">
        <v>0.8</v>
      </c>
      <c r="J550" s="4">
        <v>0.75</v>
      </c>
    </row>
    <row r="552" spans="2:64" x14ac:dyDescent="0.3">
      <c r="B552" s="29" t="s">
        <v>105</v>
      </c>
      <c r="D552" s="1" t="s">
        <v>2</v>
      </c>
      <c r="E552" s="1" t="s">
        <v>3</v>
      </c>
      <c r="F552" s="1" t="s">
        <v>4</v>
      </c>
      <c r="G552" s="1" t="s">
        <v>5</v>
      </c>
      <c r="H552" s="1" t="s">
        <v>6</v>
      </c>
      <c r="I552" s="1" t="s">
        <v>7</v>
      </c>
      <c r="J552" s="1" t="s">
        <v>8</v>
      </c>
      <c r="K552" s="1" t="s">
        <v>9</v>
      </c>
      <c r="L552" s="1" t="s">
        <v>10</v>
      </c>
      <c r="M552" s="1" t="s">
        <v>11</v>
      </c>
      <c r="N552" s="1" t="s">
        <v>12</v>
      </c>
      <c r="O552" s="1" t="s">
        <v>13</v>
      </c>
      <c r="P552" s="1" t="s">
        <v>14</v>
      </c>
      <c r="BL552" t="s">
        <v>60</v>
      </c>
    </row>
    <row r="553" spans="2:64" x14ac:dyDescent="0.3">
      <c r="C553" t="s">
        <v>98</v>
      </c>
      <c r="D553">
        <f ca="1">SUM(E553:P553)</f>
        <v>0</v>
      </c>
      <c r="E553">
        <f ca="1">(E554*E555*E559*E561*E562)/E563</f>
        <v>0</v>
      </c>
      <c r="F553">
        <f t="shared" ref="F553:P553" ca="1" si="391">(F554*F555*F559*F561*F562)/F563</f>
        <v>0</v>
      </c>
      <c r="G553">
        <f t="shared" ca="1" si="391"/>
        <v>0</v>
      </c>
      <c r="H553">
        <f t="shared" ca="1" si="391"/>
        <v>0</v>
      </c>
      <c r="I553">
        <f t="shared" ca="1" si="391"/>
        <v>0</v>
      </c>
      <c r="J553">
        <f t="shared" ca="1" si="391"/>
        <v>0</v>
      </c>
      <c r="K553">
        <f t="shared" ca="1" si="391"/>
        <v>0</v>
      </c>
      <c r="L553">
        <f t="shared" ca="1" si="391"/>
        <v>0</v>
      </c>
      <c r="M553">
        <f t="shared" ca="1" si="391"/>
        <v>0</v>
      </c>
      <c r="N553">
        <f t="shared" ca="1" si="391"/>
        <v>0</v>
      </c>
      <c r="O553">
        <f t="shared" ca="1" si="391"/>
        <v>0</v>
      </c>
      <c r="P553">
        <f t="shared" ca="1" si="391"/>
        <v>0</v>
      </c>
      <c r="Q553" t="s">
        <v>278</v>
      </c>
    </row>
    <row r="554" spans="2:64" x14ac:dyDescent="0.3">
      <c r="C554" t="s">
        <v>106</v>
      </c>
      <c r="E554">
        <f ca="1">E564*E565*E566/1000</f>
        <v>11.457600000000001</v>
      </c>
      <c r="F554">
        <f t="shared" ref="F554:P554" ca="1" si="392">F564*F565*F566/1000</f>
        <v>19.215167999999998</v>
      </c>
      <c r="G554">
        <f t="shared" ca="1" si="392"/>
        <v>35.216495999999999</v>
      </c>
      <c r="H554">
        <f t="shared" ca="1" si="392"/>
        <v>41.601599999999998</v>
      </c>
      <c r="I554">
        <f t="shared" ca="1" si="392"/>
        <v>49.833120000000001</v>
      </c>
      <c r="J554">
        <f t="shared" ca="1" si="392"/>
        <v>55.75752</v>
      </c>
      <c r="K554">
        <f t="shared" ca="1" si="392"/>
        <v>58.262639999999998</v>
      </c>
      <c r="L554">
        <f t="shared" ca="1" si="392"/>
        <v>48.779615999999997</v>
      </c>
      <c r="M554">
        <f t="shared" ca="1" si="392"/>
        <v>38.359439999999999</v>
      </c>
      <c r="N554">
        <f t="shared" ca="1" si="392"/>
        <v>26.141184000000003</v>
      </c>
      <c r="O554">
        <f t="shared" ca="1" si="392"/>
        <v>13.829759999999998</v>
      </c>
      <c r="P554">
        <f t="shared" ca="1" si="392"/>
        <v>9.3743999999999996</v>
      </c>
      <c r="Q554" t="s">
        <v>277</v>
      </c>
    </row>
    <row r="555" spans="2:64" x14ac:dyDescent="0.3">
      <c r="C555" t="s">
        <v>107</v>
      </c>
      <c r="D555" s="60">
        <f>IF(OR('Drop-down'!$AU$8="nvt",'Drop-down'!$AU$8="nog te berekenen"),0,'Drop-down'!$AU$8/1000)</f>
        <v>0</v>
      </c>
      <c r="E555" s="28">
        <f>$D555</f>
        <v>0</v>
      </c>
      <c r="F555" s="28">
        <f t="shared" ref="F555:P555" si="393">$D555</f>
        <v>0</v>
      </c>
      <c r="G555" s="28">
        <f t="shared" si="393"/>
        <v>0</v>
      </c>
      <c r="H555" s="28">
        <f>$D555</f>
        <v>0</v>
      </c>
      <c r="I555" s="28">
        <f t="shared" si="393"/>
        <v>0</v>
      </c>
      <c r="J555" s="28">
        <f t="shared" si="393"/>
        <v>0</v>
      </c>
      <c r="K555" s="28">
        <f t="shared" si="393"/>
        <v>0</v>
      </c>
      <c r="L555" s="28">
        <f t="shared" si="393"/>
        <v>0</v>
      </c>
      <c r="M555" s="28">
        <f t="shared" si="393"/>
        <v>0</v>
      </c>
      <c r="N555" s="28">
        <f t="shared" si="393"/>
        <v>0</v>
      </c>
      <c r="O555" s="28">
        <f t="shared" si="393"/>
        <v>0</v>
      </c>
      <c r="P555" s="28">
        <f t="shared" si="393"/>
        <v>0</v>
      </c>
      <c r="Q555" t="s">
        <v>337</v>
      </c>
      <c r="BL555" t="s">
        <v>59</v>
      </c>
    </row>
    <row r="556" spans="2:64" x14ac:dyDescent="0.3">
      <c r="C556" s="27" t="s">
        <v>116</v>
      </c>
      <c r="Q556" t="s">
        <v>276</v>
      </c>
    </row>
    <row r="557" spans="2:64" x14ac:dyDescent="0.3">
      <c r="C557" s="27" t="s">
        <v>117</v>
      </c>
      <c r="Q557" t="s">
        <v>18</v>
      </c>
      <c r="BL557" t="s">
        <v>61</v>
      </c>
    </row>
    <row r="558" spans="2:64" x14ac:dyDescent="0.3">
      <c r="C558" s="27" t="s">
        <v>115</v>
      </c>
      <c r="Q558" t="s">
        <v>275</v>
      </c>
    </row>
    <row r="559" spans="2:64" x14ac:dyDescent="0.3">
      <c r="C559" t="s">
        <v>108</v>
      </c>
      <c r="D559" s="14" cm="1">
        <f t="array" ref="D559">IF('Drop-down'!$BD$8=0,0,IF('Drop-down'!$BD$8="nvt",0,INDEX(Datablad!$C$26:$E$29,'Drop-down'!$BD$8,3)))</f>
        <v>0</v>
      </c>
      <c r="E559">
        <f>$D559</f>
        <v>0</v>
      </c>
      <c r="F559">
        <f t="shared" ref="F559:O559" si="394">$D559</f>
        <v>0</v>
      </c>
      <c r="G559">
        <f t="shared" si="394"/>
        <v>0</v>
      </c>
      <c r="H559">
        <f>$D559</f>
        <v>0</v>
      </c>
      <c r="I559">
        <f t="shared" si="394"/>
        <v>0</v>
      </c>
      <c r="J559">
        <f t="shared" si="394"/>
        <v>0</v>
      </c>
      <c r="K559">
        <f t="shared" si="394"/>
        <v>0</v>
      </c>
      <c r="L559">
        <f t="shared" si="394"/>
        <v>0</v>
      </c>
      <c r="M559">
        <f t="shared" si="394"/>
        <v>0</v>
      </c>
      <c r="N559">
        <f t="shared" si="394"/>
        <v>0</v>
      </c>
      <c r="O559">
        <f t="shared" si="394"/>
        <v>0</v>
      </c>
      <c r="P559">
        <f>$D559</f>
        <v>0</v>
      </c>
      <c r="Q559" t="s">
        <v>112</v>
      </c>
      <c r="BL559" t="s">
        <v>62</v>
      </c>
    </row>
    <row r="560" spans="2:64" x14ac:dyDescent="0.3">
      <c r="C560" t="s">
        <v>118</v>
      </c>
      <c r="D560" s="14" t="str">
        <f>'Drop-down'!$BD$8</f>
        <v>nvt</v>
      </c>
      <c r="Q560" t="s">
        <v>274</v>
      </c>
    </row>
    <row r="561" spans="3:64" x14ac:dyDescent="0.3">
      <c r="C561" t="s">
        <v>109</v>
      </c>
      <c r="E561">
        <f ca="1">M617</f>
        <v>0.75</v>
      </c>
      <c r="F561">
        <f ca="1">N617</f>
        <v>0.75</v>
      </c>
      <c r="G561">
        <f t="shared" ref="G561" ca="1" si="395">O617</f>
        <v>0.75</v>
      </c>
      <c r="H561">
        <f t="shared" ref="H561" ca="1" si="396">P617</f>
        <v>0.75</v>
      </c>
      <c r="I561">
        <f t="shared" ref="I561" ca="1" si="397">Q617</f>
        <v>0.75</v>
      </c>
      <c r="J561">
        <f t="shared" ref="J561" ca="1" si="398">R617</f>
        <v>0.75</v>
      </c>
      <c r="K561">
        <f t="shared" ref="K561" ca="1" si="399">S617</f>
        <v>0.75</v>
      </c>
      <c r="L561">
        <f t="shared" ref="L561" ca="1" si="400">T617</f>
        <v>0.75</v>
      </c>
      <c r="M561">
        <f t="shared" ref="M561" ca="1" si="401">U617</f>
        <v>0.75</v>
      </c>
      <c r="N561">
        <f t="shared" ref="N561" ca="1" si="402">V617</f>
        <v>0.75</v>
      </c>
      <c r="O561">
        <f t="shared" ref="O561" ca="1" si="403">W617</f>
        <v>0.75</v>
      </c>
      <c r="P561">
        <f t="shared" ref="P561" ca="1" si="404">X617</f>
        <v>0.75</v>
      </c>
      <c r="Q561" t="s">
        <v>194</v>
      </c>
      <c r="BL561" t="s">
        <v>57</v>
      </c>
    </row>
    <row r="562" spans="3:64" x14ac:dyDescent="0.3">
      <c r="C562" t="s">
        <v>110</v>
      </c>
      <c r="E562">
        <f>Datablad!$E$47</f>
        <v>0.95</v>
      </c>
      <c r="F562">
        <f>Datablad!$E$47</f>
        <v>0.95</v>
      </c>
      <c r="G562">
        <f>Datablad!$E$47</f>
        <v>0.95</v>
      </c>
      <c r="H562">
        <f>Datablad!$E$47</f>
        <v>0.95</v>
      </c>
      <c r="I562">
        <f>Datablad!$E$47</f>
        <v>0.95</v>
      </c>
      <c r="J562">
        <f>Datablad!$E$47</f>
        <v>0.95</v>
      </c>
      <c r="K562">
        <f>Datablad!$E$47</f>
        <v>0.95</v>
      </c>
      <c r="L562">
        <f>Datablad!$E$47</f>
        <v>0.95</v>
      </c>
      <c r="M562">
        <f>Datablad!$E$47</f>
        <v>0.95</v>
      </c>
      <c r="N562">
        <f>Datablad!$E$47</f>
        <v>0.95</v>
      </c>
      <c r="O562">
        <f>Datablad!$E$47</f>
        <v>0.95</v>
      </c>
      <c r="P562">
        <f>Datablad!$E$47</f>
        <v>0.95</v>
      </c>
      <c r="Q562" t="s">
        <v>304</v>
      </c>
    </row>
    <row r="563" spans="3:64" x14ac:dyDescent="0.3">
      <c r="C563" t="s">
        <v>111</v>
      </c>
      <c r="E563">
        <f>Datablad!$E$33</f>
        <v>1</v>
      </c>
      <c r="F563">
        <f>Datablad!$E$33</f>
        <v>1</v>
      </c>
      <c r="G563">
        <f>Datablad!$E$33</f>
        <v>1</v>
      </c>
      <c r="H563">
        <f>Datablad!$E$33</f>
        <v>1</v>
      </c>
      <c r="I563">
        <f>Datablad!$E$33</f>
        <v>1</v>
      </c>
      <c r="J563">
        <f>Datablad!$E$33</f>
        <v>1</v>
      </c>
      <c r="K563">
        <f>Datablad!$E$33</f>
        <v>1</v>
      </c>
      <c r="L563">
        <f>Datablad!$E$33</f>
        <v>1</v>
      </c>
      <c r="M563">
        <f>Datablad!$E$33</f>
        <v>1</v>
      </c>
      <c r="N563">
        <f>Datablad!$E$33</f>
        <v>1</v>
      </c>
      <c r="O563">
        <f>Datablad!$E$33</f>
        <v>1</v>
      </c>
      <c r="P563">
        <f>Datablad!$E$33</f>
        <v>1</v>
      </c>
      <c r="Q563" t="s">
        <v>193</v>
      </c>
    </row>
    <row r="564" spans="3:64" x14ac:dyDescent="0.3">
      <c r="C564" t="s">
        <v>113</v>
      </c>
      <c r="E564">
        <f ca="1">AW566</f>
        <v>28</v>
      </c>
      <c r="F564">
        <f t="shared" ref="F564" ca="1" si="405">AX566</f>
        <v>49.3</v>
      </c>
      <c r="G564">
        <f t="shared" ref="G564" ca="1" si="406">AY566</f>
        <v>96.6</v>
      </c>
      <c r="H564">
        <f t="shared" ref="H564" ca="1" si="407">AZ566</f>
        <v>160.5</v>
      </c>
      <c r="I564">
        <f t="shared" ref="I564" ca="1" si="408">BA566</f>
        <v>197</v>
      </c>
      <c r="J564">
        <f t="shared" ref="J564" ca="1" si="409">BB566</f>
        <v>209.3</v>
      </c>
      <c r="K564">
        <f t="shared" ref="K564" ca="1" si="410">BC566</f>
        <v>191</v>
      </c>
      <c r="L564">
        <f t="shared" ref="L564" ca="1" si="411">BD566</f>
        <v>177.2</v>
      </c>
      <c r="M564">
        <f t="shared" ref="M564" ca="1" si="412">BE566</f>
        <v>123.9</v>
      </c>
      <c r="N564">
        <f t="shared" ref="N564" ca="1" si="413">BF566</f>
        <v>73.2</v>
      </c>
      <c r="O564">
        <f t="shared" ref="O564" ca="1" si="414">BG566</f>
        <v>34.299999999999997</v>
      </c>
      <c r="P564">
        <f t="shared" ref="P564" ca="1" si="415">BH566</f>
        <v>21</v>
      </c>
      <c r="Q564" t="s">
        <v>139</v>
      </c>
    </row>
    <row r="565" spans="3:64" x14ac:dyDescent="0.3">
      <c r="C565" t="s">
        <v>84</v>
      </c>
      <c r="D565">
        <f>Datablad!$E$65</f>
        <v>8760</v>
      </c>
      <c r="E565">
        <f>Datablad!$E$53</f>
        <v>744</v>
      </c>
      <c r="F565">
        <f>Datablad!$E$54</f>
        <v>672</v>
      </c>
      <c r="G565">
        <f>Datablad!$E$55</f>
        <v>744</v>
      </c>
      <c r="H565">
        <f>Datablad!$E$56</f>
        <v>720</v>
      </c>
      <c r="I565">
        <f>Datablad!$E$57</f>
        <v>744</v>
      </c>
      <c r="J565">
        <f>Datablad!$E$58</f>
        <v>720</v>
      </c>
      <c r="K565">
        <f>Datablad!$E$59</f>
        <v>744</v>
      </c>
      <c r="L565">
        <f>Datablad!$E$60</f>
        <v>744</v>
      </c>
      <c r="M565">
        <f>Datablad!$E$61</f>
        <v>720</v>
      </c>
      <c r="N565">
        <f>Datablad!$E$62</f>
        <v>744</v>
      </c>
      <c r="O565">
        <f>Datablad!$E$63</f>
        <v>720</v>
      </c>
      <c r="P565">
        <f>Datablad!$E$64</f>
        <v>744</v>
      </c>
      <c r="Q565" t="s">
        <v>192</v>
      </c>
    </row>
    <row r="566" spans="3:64" x14ac:dyDescent="0.3">
      <c r="C566" t="s">
        <v>114</v>
      </c>
      <c r="E566">
        <f ca="1">P593</f>
        <v>0.55000000000000004</v>
      </c>
      <c r="F566">
        <f t="shared" ref="F566" ca="1" si="416">Q593</f>
        <v>0.57999999999999996</v>
      </c>
      <c r="G566">
        <f t="shared" ref="G566" ca="1" si="417">R593</f>
        <v>0.49</v>
      </c>
      <c r="H566">
        <f t="shared" ref="H566" ca="1" si="418">S593</f>
        <v>0.36</v>
      </c>
      <c r="I566">
        <f t="shared" ref="I566" ca="1" si="419">T593</f>
        <v>0.34</v>
      </c>
      <c r="J566">
        <f t="shared" ref="J566" ca="1" si="420">U593</f>
        <v>0.37</v>
      </c>
      <c r="K566">
        <f t="shared" ref="K566" ca="1" si="421">V593</f>
        <v>0.41</v>
      </c>
      <c r="L566">
        <f t="shared" ref="L566" ca="1" si="422">W593</f>
        <v>0.37</v>
      </c>
      <c r="M566">
        <f t="shared" ref="M566" ca="1" si="423">X593</f>
        <v>0.43</v>
      </c>
      <c r="N566">
        <f t="shared" ref="N566" ca="1" si="424">Y593</f>
        <v>0.48</v>
      </c>
      <c r="O566">
        <f t="shared" ref="O566" ca="1" si="425">Z593</f>
        <v>0.56000000000000005</v>
      </c>
      <c r="P566">
        <f t="shared" ref="P566" ca="1" si="426">AA593</f>
        <v>0.6</v>
      </c>
      <c r="Q566" t="s">
        <v>195</v>
      </c>
      <c r="AU566" t="s">
        <v>191</v>
      </c>
      <c r="AV566">
        <f ca="1">IF(N571&lt;30,1,IF(N571&lt;45,2,IF(N571&lt;60,3,IF(N571&lt;90,4,IF(N571&lt;135,5,IF(N571=180,7,6))))))</f>
        <v>1</v>
      </c>
      <c r="AW566" s="18">
        <f ca="1">VLOOKUP(AV566,AV571:BH577,AW568+1,FALSE)</f>
        <v>28</v>
      </c>
      <c r="AX566" s="18">
        <f ca="1">VLOOKUP(AV566,AV571:BH577,AX568+1,FALSE)</f>
        <v>49.3</v>
      </c>
      <c r="AY566" s="18">
        <f ca="1">VLOOKUP(AV566,AV571:BH577,AY568+1,FALSE)</f>
        <v>96.6</v>
      </c>
      <c r="AZ566" s="18">
        <f ca="1">VLOOKUP(AV566,AV571:BH577,AZ568+1,FALSE)</f>
        <v>160.5</v>
      </c>
      <c r="BA566" s="18">
        <f ca="1">VLOOKUP(AV566,AV571:BH577,BA568+1,FALSE)</f>
        <v>197</v>
      </c>
      <c r="BB566" s="18">
        <f ca="1">VLOOKUP(AV566,AV571:BH577,BB568+1,FALSE)</f>
        <v>209.3</v>
      </c>
      <c r="BC566" s="18">
        <f ca="1">VLOOKUP(AV566,AV571:BH577,BC568+1,FALSE)</f>
        <v>191</v>
      </c>
      <c r="BD566" s="18">
        <f ca="1">VLOOKUP(AV566,AV571:BH577,BD568+1,FALSE)</f>
        <v>177.2</v>
      </c>
      <c r="BE566" s="18">
        <f ca="1">VLOOKUP(AV566,AV571:BH577,BE568+1,FALSE)</f>
        <v>123.9</v>
      </c>
      <c r="BF566" s="18">
        <f ca="1">VLOOKUP(AV566,AV571:BH577,BF568+1,FALSE)</f>
        <v>73.2</v>
      </c>
      <c r="BG566" s="18">
        <f ca="1">VLOOKUP(AV566,AV571:BH577,BG568+1,FALSE)</f>
        <v>34.299999999999997</v>
      </c>
      <c r="BH566" s="18">
        <f ca="1">VLOOKUP(AV566,AV571:BH577,BH568+1,FALSE)</f>
        <v>21</v>
      </c>
    </row>
    <row r="567" spans="3:64" x14ac:dyDescent="0.3">
      <c r="I567" s="1" t="s">
        <v>229</v>
      </c>
      <c r="W567" s="4" t="s">
        <v>188</v>
      </c>
      <c r="AJ567" s="4" t="s">
        <v>189</v>
      </c>
      <c r="AW567" s="4" t="s">
        <v>190</v>
      </c>
    </row>
    <row r="568" spans="3:64" x14ac:dyDescent="0.3">
      <c r="W568" s="4">
        <v>1</v>
      </c>
      <c r="X568" s="4">
        <v>2</v>
      </c>
      <c r="Y568" s="4">
        <v>3</v>
      </c>
      <c r="Z568" s="4">
        <v>4</v>
      </c>
      <c r="AA568" s="4">
        <v>5</v>
      </c>
      <c r="AB568" s="4">
        <v>6</v>
      </c>
      <c r="AC568" s="4">
        <v>7</v>
      </c>
      <c r="AD568" s="4">
        <v>8</v>
      </c>
      <c r="AE568" s="4">
        <v>9</v>
      </c>
      <c r="AF568" s="4">
        <v>10</v>
      </c>
      <c r="AG568" s="4">
        <v>11</v>
      </c>
      <c r="AH568" s="4">
        <v>12</v>
      </c>
      <c r="AI568" s="10"/>
      <c r="AJ568" s="4">
        <v>1</v>
      </c>
      <c r="AK568" s="4">
        <v>2</v>
      </c>
      <c r="AL568" s="4">
        <v>3</v>
      </c>
      <c r="AM568" s="4">
        <v>4</v>
      </c>
      <c r="AN568" s="4">
        <v>5</v>
      </c>
      <c r="AO568" s="4">
        <v>6</v>
      </c>
      <c r="AP568" s="4">
        <v>7</v>
      </c>
      <c r="AQ568" s="4">
        <v>8</v>
      </c>
      <c r="AR568" s="4">
        <v>9</v>
      </c>
      <c r="AS568" s="4">
        <v>10</v>
      </c>
      <c r="AT568" s="4">
        <v>11</v>
      </c>
      <c r="AU568" s="4">
        <v>12</v>
      </c>
      <c r="AW568" s="4">
        <v>1</v>
      </c>
      <c r="AX568" s="4">
        <v>2</v>
      </c>
      <c r="AY568" s="4">
        <v>3</v>
      </c>
      <c r="AZ568" s="4">
        <v>4</v>
      </c>
      <c r="BA568" s="4">
        <v>5</v>
      </c>
      <c r="BB568" s="4">
        <v>6</v>
      </c>
      <c r="BC568" s="4">
        <v>7</v>
      </c>
      <c r="BD568" s="4">
        <v>8</v>
      </c>
      <c r="BE568" s="4">
        <v>9</v>
      </c>
      <c r="BF568" s="4">
        <v>10</v>
      </c>
      <c r="BG568" s="4">
        <v>11</v>
      </c>
      <c r="BH568" s="4">
        <v>12</v>
      </c>
    </row>
    <row r="569" spans="3:64" x14ac:dyDescent="0.3">
      <c r="L569" t="s">
        <v>366</v>
      </c>
      <c r="M569" t="s">
        <v>142</v>
      </c>
      <c r="N569" t="s">
        <v>174</v>
      </c>
      <c r="Q569" t="s">
        <v>173</v>
      </c>
      <c r="W569" s="12" t="s">
        <v>3</v>
      </c>
      <c r="X569" s="12" t="s">
        <v>4</v>
      </c>
      <c r="Y569" s="12" t="s">
        <v>5</v>
      </c>
      <c r="Z569" s="12" t="s">
        <v>6</v>
      </c>
      <c r="AA569" s="12" t="s">
        <v>7</v>
      </c>
      <c r="AB569" s="12" t="s">
        <v>8</v>
      </c>
      <c r="AC569" s="12" t="s">
        <v>9</v>
      </c>
      <c r="AD569" s="12" t="s">
        <v>10</v>
      </c>
      <c r="AE569" s="12" t="s">
        <v>11</v>
      </c>
      <c r="AF569" s="12" t="s">
        <v>12</v>
      </c>
      <c r="AG569" s="12" t="s">
        <v>13</v>
      </c>
      <c r="AH569" s="12" t="s">
        <v>14</v>
      </c>
      <c r="AI569" s="13"/>
      <c r="AJ569" s="12" t="s">
        <v>3</v>
      </c>
      <c r="AK569" s="12" t="s">
        <v>4</v>
      </c>
      <c r="AL569" s="12" t="s">
        <v>5</v>
      </c>
      <c r="AM569" s="12" t="s">
        <v>6</v>
      </c>
      <c r="AN569" s="12" t="s">
        <v>7</v>
      </c>
      <c r="AO569" s="12" t="s">
        <v>8</v>
      </c>
      <c r="AP569" s="12" t="s">
        <v>9</v>
      </c>
      <c r="AQ569" s="12" t="s">
        <v>10</v>
      </c>
      <c r="AR569" s="12" t="s">
        <v>11</v>
      </c>
      <c r="AS569" s="12" t="s">
        <v>12</v>
      </c>
      <c r="AT569" s="12" t="s">
        <v>13</v>
      </c>
      <c r="AU569" s="12" t="s">
        <v>14</v>
      </c>
      <c r="AW569" s="12" t="s">
        <v>3</v>
      </c>
      <c r="AX569" s="12" t="s">
        <v>4</v>
      </c>
      <c r="AY569" s="12" t="s">
        <v>5</v>
      </c>
      <c r="AZ569" s="12" t="s">
        <v>6</v>
      </c>
      <c r="BA569" s="12" t="s">
        <v>7</v>
      </c>
      <c r="BB569" s="12" t="s">
        <v>8</v>
      </c>
      <c r="BC569" s="12" t="s">
        <v>9</v>
      </c>
      <c r="BD569" s="12" t="s">
        <v>10</v>
      </c>
      <c r="BE569" s="12" t="s">
        <v>11</v>
      </c>
      <c r="BF569" s="12" t="s">
        <v>12</v>
      </c>
      <c r="BG569" s="12" t="s">
        <v>13</v>
      </c>
      <c r="BH569" s="12" t="s">
        <v>14</v>
      </c>
    </row>
    <row r="570" spans="3:64" x14ac:dyDescent="0.3">
      <c r="L570" t="s">
        <v>119</v>
      </c>
      <c r="N570" t="s">
        <v>119</v>
      </c>
      <c r="P570" t="s">
        <v>171</v>
      </c>
      <c r="Q570" t="s">
        <v>172</v>
      </c>
      <c r="R570" t="s">
        <v>175</v>
      </c>
      <c r="S570" t="s">
        <v>177</v>
      </c>
      <c r="T570" t="s">
        <v>178</v>
      </c>
      <c r="U570" t="s">
        <v>179</v>
      </c>
      <c r="V570" t="s">
        <v>179</v>
      </c>
      <c r="W570" s="4"/>
      <c r="X570" s="4"/>
      <c r="Y570" s="4"/>
      <c r="Z570" s="4"/>
      <c r="AA570" s="4"/>
      <c r="AB570" s="4"/>
      <c r="AC570" s="4"/>
      <c r="AD570" s="4"/>
      <c r="AE570" s="4"/>
      <c r="AF570" s="4"/>
      <c r="AG570" s="4"/>
      <c r="AH570" s="4"/>
      <c r="AI570" s="10"/>
      <c r="AJ570" s="4"/>
      <c r="AK570" s="4"/>
      <c r="AL570" s="4"/>
      <c r="AM570" s="4"/>
      <c r="AN570" s="4"/>
      <c r="AO570" s="4"/>
      <c r="AP570" s="4"/>
      <c r="AQ570" s="4"/>
      <c r="AR570" s="4"/>
      <c r="AS570" s="4"/>
      <c r="AT570" s="4"/>
      <c r="AU570" s="4"/>
      <c r="AW570" s="4"/>
      <c r="AX570" s="4"/>
      <c r="AY570" s="4"/>
      <c r="AZ570" s="4"/>
      <c r="BA570" s="4"/>
      <c r="BB570" s="4"/>
      <c r="BC570" s="4"/>
      <c r="BD570" s="4"/>
      <c r="BE570" s="4"/>
      <c r="BF570" s="4"/>
      <c r="BG570" s="4"/>
      <c r="BH570" s="4"/>
      <c r="BL570" t="s">
        <v>63</v>
      </c>
    </row>
    <row r="571" spans="3:64" x14ac:dyDescent="0.3">
      <c r="L571" s="16" t="str">
        <f>'Drop-down'!$AX$8</f>
        <v>nvt</v>
      </c>
      <c r="N571" s="14">
        <f ca="1">IF('Drop-down'!$BA$8="vul in",0,'Drop-down'!$BA$8)</f>
        <v>0</v>
      </c>
      <c r="P571">
        <v>0</v>
      </c>
      <c r="Q571">
        <v>1</v>
      </c>
      <c r="R571" t="str">
        <f ca="1">IF(N571=P571,"ja","nee")</f>
        <v>ja</v>
      </c>
      <c r="S571" t="str">
        <f ca="1">IF(AND(N571&gt;P571,N571&lt;P572),Q571,"n.v.t.")</f>
        <v>n.v.t.</v>
      </c>
      <c r="T571" t="str">
        <f t="shared" ref="T571:T577" ca="1" si="427">IF(S571="n.v.t.","n.v.t.",Q571+1)</f>
        <v>n.v.t.</v>
      </c>
      <c r="U571" t="str">
        <f ca="1">IF(S571="n.v.t.","n.v.t.",(P572-N571)/(P572-P571))</f>
        <v>n.v.t.</v>
      </c>
      <c r="V571" t="str">
        <f ca="1">IF(T571="n.v.t.","n.v.t.",(N571-P571)/(P572-P571))</f>
        <v>n.v.t.</v>
      </c>
      <c r="W571" s="4" cm="1">
        <f t="array" ref="W571">INDEX(Datablad!$E$70:$L$83,W568+2,M572)</f>
        <v>28</v>
      </c>
      <c r="X571" s="4" cm="1">
        <f t="array" ref="X571">INDEX(Datablad!$E$70:$L$83,X568+2,M572)</f>
        <v>49.3</v>
      </c>
      <c r="Y571" s="4" cm="1">
        <f t="array" ref="Y571">INDEX(Datablad!$E$70:$L$83,Y568+2,M572)</f>
        <v>96.6</v>
      </c>
      <c r="Z571" s="4" cm="1">
        <f t="array" ref="Z571">INDEX(Datablad!$E$70:$L$83,Z568+2,M572)</f>
        <v>160.5</v>
      </c>
      <c r="AA571" s="4" cm="1">
        <f t="array" ref="AA571">INDEX(Datablad!$E$70:$L$83,AA568+2,M572)</f>
        <v>197</v>
      </c>
      <c r="AB571" s="4" cm="1">
        <f t="array" ref="AB571">INDEX(Datablad!$E$70:$L$83,AB568+2,M572)</f>
        <v>209.3</v>
      </c>
      <c r="AC571" s="4" cm="1">
        <f t="array" ref="AC571">INDEX(Datablad!$E$70:$L$83,AC568+2,M572)</f>
        <v>191</v>
      </c>
      <c r="AD571" s="4" cm="1">
        <f t="array" ref="AD571">INDEX(Datablad!$E$70:$L$83,AD568+2,M572)</f>
        <v>177.2</v>
      </c>
      <c r="AE571" s="4" cm="1">
        <f t="array" ref="AE571">INDEX(Datablad!$E$70:$L$83,AE568+2,M572)</f>
        <v>123.9</v>
      </c>
      <c r="AF571" s="4" cm="1">
        <f t="array" ref="AF571">INDEX(Datablad!$E$70:$L$83,AF568+2,M572)</f>
        <v>73.2</v>
      </c>
      <c r="AG571" s="4" cm="1">
        <f t="array" ref="AG571">INDEX(Datablad!$E$70:$L$83,AG568+2,M572)</f>
        <v>34.299999999999997</v>
      </c>
      <c r="AH571" s="4" cm="1">
        <f t="array" ref="AH571">INDEX(Datablad!$E$70:$L$83,AH568+2,M572)</f>
        <v>21</v>
      </c>
      <c r="AI571" s="10"/>
      <c r="AJ571" s="4" cm="1">
        <f t="array" ref="AJ571">INDEX(Datablad!$N$70:$U$83,AJ568+2,M572)</f>
        <v>14.9</v>
      </c>
      <c r="AK571" s="4" cm="1">
        <f t="array" ref="AK571">INDEX(Datablad!$N$70:$U$83,AK568+2,M572)</f>
        <v>27.2</v>
      </c>
      <c r="AL571" s="4" cm="1">
        <f t="array" ref="AL571">INDEX(Datablad!$N$70:$U$83,AL568+2,M572)</f>
        <v>56.4</v>
      </c>
      <c r="AM571" s="4" cm="1">
        <f t="array" ref="AM571">INDEX(Datablad!$N$70:$U$83,AM568+2,M572)</f>
        <v>104.6</v>
      </c>
      <c r="AN571" s="4" cm="1">
        <f t="array" ref="AN571">INDEX(Datablad!$N$70:$U$83,AN568+2,M572)</f>
        <v>148.5</v>
      </c>
      <c r="AO571" s="4" cm="1">
        <f t="array" ref="AO571">INDEX(Datablad!$N$70:$U$83,AO568+2,M572)</f>
        <v>171</v>
      </c>
      <c r="AP571" s="4" cm="1">
        <f t="array" ref="AP571">INDEX(Datablad!$N$70:$U$83,AP568+2,M572)</f>
        <v>153</v>
      </c>
      <c r="AQ571" s="4" cm="1">
        <f t="array" ref="AQ571">INDEX(Datablad!$N$70:$U$83,AQ568+2,M572)</f>
        <v>125.8</v>
      </c>
      <c r="AR571" s="4" cm="1">
        <f t="array" ref="AR571">INDEX(Datablad!$N$70:$U$83,AR568+2,M572)</f>
        <v>73.7</v>
      </c>
      <c r="AS571" s="4" cm="1">
        <f t="array" ref="AS571">INDEX(Datablad!$N$70:$U$83,AS568+2,M572)</f>
        <v>36.299999999999997</v>
      </c>
      <c r="AT571" s="4" cm="1">
        <f t="array" ref="AT571">INDEX(Datablad!$N$70:$U$83,AT568+2,M572)</f>
        <v>18.600000000000001</v>
      </c>
      <c r="AU571" s="4" cm="1">
        <f t="array" ref="AU571">INDEX(Datablad!$N$70:$U$83,AU568+2,M572)</f>
        <v>12.2</v>
      </c>
      <c r="AV571">
        <v>1</v>
      </c>
      <c r="AW571" s="4">
        <f t="shared" ref="AW571:AW577" ca="1" si="428">IF(R571="ja",W571,IF(S571="n.v.t.","n.v.t.",U571*W571+V571*AJ571))</f>
        <v>28</v>
      </c>
      <c r="AX571" s="4">
        <f t="shared" ref="AX571:AX577" ca="1" si="429">IF(R571="ja",X571,IF(S571="n.v.t.","n.v.t.",U571*X571+V571*AK571))</f>
        <v>49.3</v>
      </c>
      <c r="AY571" s="4">
        <f t="shared" ref="AY571:AY577" ca="1" si="430">IF(R571="ja",Y571,IF(S571="n.v.t.","n.v.t.",U571*Y571+V571*AL571))</f>
        <v>96.6</v>
      </c>
      <c r="AZ571" s="4">
        <f t="shared" ref="AZ571:AZ577" ca="1" si="431">IF(R571="ja",Z571,IF(S571="n.v.t.","n.v.t.",U571*Z571+V571*AM571))</f>
        <v>160.5</v>
      </c>
      <c r="BA571" s="4">
        <f t="shared" ref="BA571:BA577" ca="1" si="432">IF(R571="ja",AA571,IF(S571="n.v.t.","n.v.t.",U571*AA571+V571*AN571))</f>
        <v>197</v>
      </c>
      <c r="BB571" s="4">
        <f t="shared" ref="BB571:BB577" ca="1" si="433">IF(R571="ja",AB571,IF(S571="n.v.t.","n.v.t.",U571*AB571+V571*AO571))</f>
        <v>209.3</v>
      </c>
      <c r="BC571" s="4">
        <f t="shared" ref="BC571:BC577" ca="1" si="434">IF(R571="ja",AC571,IF(S571="n.v.t.","n.v.t.",U571*AC571+V571*AP571))</f>
        <v>191</v>
      </c>
      <c r="BD571" s="4">
        <f t="shared" ref="BD571:BD577" ca="1" si="435">IF(R571="ja",AD571,IF(S571="n.v.t.","n.v.t.",U571*AD571+V571*AQ571))</f>
        <v>177.2</v>
      </c>
      <c r="BE571" s="4">
        <f t="shared" ref="BE571:BE577" ca="1" si="436">IF(R571="ja",AE571,IF(S571="n.v.t.","n.v.t.",U571*AE571+V571*AR571))</f>
        <v>123.9</v>
      </c>
      <c r="BF571" s="4">
        <f t="shared" ref="BF571:BF577" ca="1" si="437">IF(R571="ja",AF571,IF(S571="n.v.t.","n.v.t.",U571*AF571+V571*AS571))</f>
        <v>73.2</v>
      </c>
      <c r="BG571" s="4">
        <f t="shared" ref="BG571:BG577" ca="1" si="438">IF(R571="ja",AG571,IF(S571="n.v.t.","n.v.t.",U571*AG571+V571*AT571))</f>
        <v>34.299999999999997</v>
      </c>
      <c r="BH571" s="4">
        <f t="shared" ref="BH571:BH577" ca="1" si="439">IF(R571="ja",AH571,IF(S571="n.v.t.","n.v.t.",U571*AH571+V571*AU571))</f>
        <v>21</v>
      </c>
    </row>
    <row r="572" spans="3:64" x14ac:dyDescent="0.3">
      <c r="L572" t="s">
        <v>187</v>
      </c>
      <c r="M572" s="58">
        <f>IF(L571="nvt",1,VLOOKUP(L571,K575:M583,3,FALSE))</f>
        <v>1</v>
      </c>
      <c r="P572">
        <v>30</v>
      </c>
      <c r="Q572">
        <v>2</v>
      </c>
      <c r="R572" t="str">
        <f ca="1">IF(N571=P572,"ja","nee")</f>
        <v>nee</v>
      </c>
      <c r="S572" t="str">
        <f ca="1">IF(AND(N571&gt;P572,N571&lt;P573),Q572,"n.v.t.")</f>
        <v>n.v.t.</v>
      </c>
      <c r="T572" t="str">
        <f t="shared" ca="1" si="427"/>
        <v>n.v.t.</v>
      </c>
      <c r="U572" t="str">
        <f ca="1">IF(S572="n.v.t.","n.v.t.",(P573-N571)/(P573-P572))</f>
        <v>n.v.t.</v>
      </c>
      <c r="V572" t="str">
        <f ca="1">IF(T572="n.v.t.","n.v.t.",(N571-P572)/(P573-P572))</f>
        <v>n.v.t.</v>
      </c>
      <c r="W572" s="4" cm="1">
        <f t="array" ref="W572">INDEX(Datablad!$N$70:$U$83,W568+2,M572)</f>
        <v>14.9</v>
      </c>
      <c r="X572" s="4" cm="1">
        <f t="array" ref="X572">INDEX(Datablad!$N$70:$U$83,X568+2,M572)</f>
        <v>27.2</v>
      </c>
      <c r="Y572" s="4" cm="1">
        <f t="array" ref="Y572">INDEX(Datablad!$N$70:$U$83,Y568+2,M572)</f>
        <v>56.4</v>
      </c>
      <c r="Z572" s="4" cm="1">
        <f t="array" ref="Z572">INDEX(Datablad!$N$70:$U$83,Z568+2,M572)</f>
        <v>104.6</v>
      </c>
      <c r="AA572" s="4" cm="1">
        <f t="array" ref="AA572">INDEX(Datablad!$N$70:$U$83,AA568+2,M572)</f>
        <v>148.5</v>
      </c>
      <c r="AB572" s="4" cm="1">
        <f t="array" ref="AB572">INDEX(Datablad!$N$70:$U$83,AB568+2,M572)</f>
        <v>171</v>
      </c>
      <c r="AC572" s="4" cm="1">
        <f t="array" ref="AC572">INDEX(Datablad!$N$70:$U$83,AC568+2,M572)</f>
        <v>153</v>
      </c>
      <c r="AD572" s="4" cm="1">
        <f t="array" ref="AD572">INDEX(Datablad!$N$70:$U$83,AD568+2,M572)</f>
        <v>125.8</v>
      </c>
      <c r="AE572" s="4" cm="1">
        <f t="array" ref="AE572">INDEX(Datablad!$N$70:$U$83,AE568+2,M572)</f>
        <v>73.7</v>
      </c>
      <c r="AF572" s="4" cm="1">
        <f t="array" ref="AF572">INDEX(Datablad!$N$70:$U$83,AF568+2,M572)</f>
        <v>36.299999999999997</v>
      </c>
      <c r="AG572" s="4" cm="1">
        <f t="array" ref="AG572">INDEX(Datablad!$N$70:$U$83,AG568+2,M572)</f>
        <v>18.600000000000001</v>
      </c>
      <c r="AH572" s="4" cm="1">
        <f t="array" ref="AH572">INDEX(Datablad!$N$70:$U$83,AH568+2,M572)</f>
        <v>12.2</v>
      </c>
      <c r="AI572" s="10"/>
      <c r="AJ572" s="4" cm="1">
        <f t="array" ref="AJ572">INDEX(Datablad!$W$70:$AD$83,AJ568+2,M572)</f>
        <v>14.3</v>
      </c>
      <c r="AK572" s="4" cm="1">
        <f t="array" ref="AK572">INDEX(Datablad!$W$70:$AD$83,AK568+2,M572)</f>
        <v>25.9</v>
      </c>
      <c r="AL572" s="4" cm="1">
        <f t="array" ref="AL572">INDEX(Datablad!$W$70:$AD$83,AL568+2,M572)</f>
        <v>44.3</v>
      </c>
      <c r="AM572" s="4" cm="1">
        <f t="array" ref="AM572">INDEX(Datablad!$W$70:$AD$83,AM568+2,M572)</f>
        <v>70</v>
      </c>
      <c r="AN572" s="4" cm="1">
        <f t="array" ref="AN572">INDEX(Datablad!$W$70:$AD$83,AN568+2,M572)</f>
        <v>113.6</v>
      </c>
      <c r="AO572" s="4" cm="1">
        <f t="array" ref="AO572">INDEX(Datablad!$W$70:$AD$83,AO568+2,M572)</f>
        <v>139.6</v>
      </c>
      <c r="AP572" s="4" cm="1">
        <f t="array" ref="AP572">INDEX(Datablad!$W$70:$AD$83,AP568+2,M572)</f>
        <v>123.5</v>
      </c>
      <c r="AQ572" s="4" cm="1">
        <f t="array" ref="AQ572">INDEX(Datablad!$W$70:$AD$83,AQ568+2,M572)</f>
        <v>91.5</v>
      </c>
      <c r="AR572" s="4" cm="1">
        <f t="array" ref="AR572">INDEX(Datablad!$W$70:$AD$83,AR568+2,M572)</f>
        <v>52.9</v>
      </c>
      <c r="AS572" s="4" cm="1">
        <f t="array" ref="AS572">INDEX(Datablad!$W$70:$AD$83,AS568+2,M572)</f>
        <v>33.5</v>
      </c>
      <c r="AT572" s="4" cm="1">
        <f t="array" ref="AT572">INDEX(Datablad!$W$70:$AD$83,AT568+2,M572)</f>
        <v>17.8</v>
      </c>
      <c r="AU572" s="4" cm="1">
        <f t="array" ref="AU572">INDEX(Datablad!$W$70:$AD$83,AU568+2,M572)</f>
        <v>11.7</v>
      </c>
      <c r="AV572">
        <v>2</v>
      </c>
      <c r="AW572" s="4" t="str">
        <f t="shared" ca="1" si="428"/>
        <v>n.v.t.</v>
      </c>
      <c r="AX572" s="4" t="str">
        <f t="shared" ca="1" si="429"/>
        <v>n.v.t.</v>
      </c>
      <c r="AY572" s="4" t="str">
        <f t="shared" ca="1" si="430"/>
        <v>n.v.t.</v>
      </c>
      <c r="AZ572" s="4" t="str">
        <f t="shared" ca="1" si="431"/>
        <v>n.v.t.</v>
      </c>
      <c r="BA572" s="4" t="str">
        <f t="shared" ca="1" si="432"/>
        <v>n.v.t.</v>
      </c>
      <c r="BB572" s="4" t="str">
        <f t="shared" ca="1" si="433"/>
        <v>n.v.t.</v>
      </c>
      <c r="BC572" s="4" t="str">
        <f t="shared" ca="1" si="434"/>
        <v>n.v.t.</v>
      </c>
      <c r="BD572" s="4" t="str">
        <f t="shared" ca="1" si="435"/>
        <v>n.v.t.</v>
      </c>
      <c r="BE572" s="4" t="str">
        <f t="shared" ca="1" si="436"/>
        <v>n.v.t.</v>
      </c>
      <c r="BF572" s="4" t="str">
        <f t="shared" ca="1" si="437"/>
        <v>n.v.t.</v>
      </c>
      <c r="BG572" s="4" t="str">
        <f t="shared" ca="1" si="438"/>
        <v>n.v.t.</v>
      </c>
      <c r="BH572" s="4" t="str">
        <f t="shared" ca="1" si="439"/>
        <v>n.v.t.</v>
      </c>
      <c r="BL572" t="s">
        <v>65</v>
      </c>
    </row>
    <row r="573" spans="3:64" x14ac:dyDescent="0.3">
      <c r="M573" s="58" t="str">
        <f>IF(L571="nvt","ho",VLOOKUP(L571,K575:M583,2,FALSE))</f>
        <v>ho</v>
      </c>
      <c r="P573">
        <v>45</v>
      </c>
      <c r="Q573">
        <v>3</v>
      </c>
      <c r="R573" t="str">
        <f ca="1">IF(N571=P573,"ja","nee")</f>
        <v>nee</v>
      </c>
      <c r="S573" t="str">
        <f ca="1">IF(AND(N571&gt;P573,N571&lt;P574),Q573,"n.v.t.")</f>
        <v>n.v.t.</v>
      </c>
      <c r="T573" t="str">
        <f t="shared" ca="1" si="427"/>
        <v>n.v.t.</v>
      </c>
      <c r="U573" t="str">
        <f ca="1">IF(S573="n.v.t.","n.v.t.",(P574-N571)/(P574-P573))</f>
        <v>n.v.t.</v>
      </c>
      <c r="V573" t="str">
        <f ca="1">IF(T573="n.v.t.","n.v.t.",(N571-P573)/(P574-P573))</f>
        <v>n.v.t.</v>
      </c>
      <c r="W573" s="4" cm="1">
        <f t="array" ref="W573">INDEX(Datablad!$W$70:$AD$83,W568+2,M572)</f>
        <v>14.3</v>
      </c>
      <c r="X573" s="4" cm="1">
        <f t="array" ref="X573">INDEX(Datablad!$W$70:$AD$83,X568+2,M572)</f>
        <v>25.9</v>
      </c>
      <c r="Y573" s="4" cm="1">
        <f t="array" ref="Y573">INDEX(Datablad!$W$70:$AD$83,Y568+2,M572)</f>
        <v>44.3</v>
      </c>
      <c r="Z573" s="4" cm="1">
        <f t="array" ref="Z573">INDEX(Datablad!$W$70:$AD$83,Z568+2,M572)</f>
        <v>70</v>
      </c>
      <c r="AA573" s="4" cm="1">
        <f t="array" ref="AA573">INDEX(Datablad!$W$70:$AD$83,AA568+2,M572)</f>
        <v>113.6</v>
      </c>
      <c r="AB573" s="4" cm="1">
        <f t="array" ref="AB573">INDEX(Datablad!$W$70:$AD$83,AB568+2,M572)</f>
        <v>139.6</v>
      </c>
      <c r="AC573" s="4" cm="1">
        <f t="array" ref="AC573">INDEX(Datablad!$W$70:$AD$83,AC568+2,M572)</f>
        <v>123.5</v>
      </c>
      <c r="AD573" s="4" cm="1">
        <f t="array" ref="AD573">INDEX(Datablad!$W$70:$AD$83,AD568+2,M572)</f>
        <v>91.5</v>
      </c>
      <c r="AE573" s="4" cm="1">
        <f t="array" ref="AE573">INDEX(Datablad!$W$70:$AD$83,AE568+2,M572)</f>
        <v>52.9</v>
      </c>
      <c r="AF573" s="4" cm="1">
        <f t="array" ref="AF573">INDEX(Datablad!$W$70:$AD$83,AF568+2,M572)</f>
        <v>33.5</v>
      </c>
      <c r="AG573" s="4" cm="1">
        <f t="array" ref="AG573">INDEX(Datablad!$W$70:$AD$83,AG568+2,M572)</f>
        <v>17.8</v>
      </c>
      <c r="AH573" s="4" cm="1">
        <f t="array" ref="AH573">INDEX(Datablad!$W$70:$AD$83,AH568+2,M572)</f>
        <v>11.7</v>
      </c>
      <c r="AI573" s="10"/>
      <c r="AJ573" s="4" cm="1">
        <f t="array" ref="AJ573">INDEX(Datablad!$AF$70:$AM$83,AJ568+2,M572)</f>
        <v>13.4</v>
      </c>
      <c r="AK573" s="4" cm="1">
        <f t="array" ref="AK573">INDEX(Datablad!$AF$70:$AM$83,AK568+2,M572)</f>
        <v>24.1</v>
      </c>
      <c r="AL573" s="4" cm="1">
        <f t="array" ref="AL573">INDEX(Datablad!$AF$70:$AM$83,AL568+2,M572)</f>
        <v>41.5</v>
      </c>
      <c r="AM573" s="4" cm="1">
        <f t="array" ref="AM573">INDEX(Datablad!$AF$70:$AM$83,AM568+2,M572)</f>
        <v>57.8</v>
      </c>
      <c r="AN573" s="4" cm="1">
        <f t="array" ref="AN573">INDEX(Datablad!$AF$70:$AM$83,AN568+2,M572)</f>
        <v>78.5</v>
      </c>
      <c r="AO573" s="4" cm="1">
        <f t="array" ref="AO573">INDEX(Datablad!$AF$70:$AM$83,AO568+2,M572)</f>
        <v>102.9</v>
      </c>
      <c r="AP573" s="4" cm="1">
        <f t="array" ref="AP573">INDEX(Datablad!$AF$70:$AM$83,AP568+2,M572)</f>
        <v>90.4</v>
      </c>
      <c r="AQ573" s="4" cm="1">
        <f t="array" ref="AQ573">INDEX(Datablad!$AF$70:$AM$83,AQ568+2,M572)</f>
        <v>68</v>
      </c>
      <c r="AR573" s="4" cm="1">
        <f t="array" ref="AR573">INDEX(Datablad!$AF$70:$AM$83,AR568+2,M572)</f>
        <v>48.6</v>
      </c>
      <c r="AS573" s="4" cm="1">
        <f t="array" ref="AS573">INDEX(Datablad!$AF$70:$AM$83,AS568+2,M572)</f>
        <v>31.5</v>
      </c>
      <c r="AT573" s="4" cm="1">
        <f t="array" ref="AT573">INDEX(Datablad!$AF$70:$AM$83,AT568+2,M572)</f>
        <v>16.600000000000001</v>
      </c>
      <c r="AU573" s="4" cm="1">
        <f t="array" ref="AU573">INDEX(Datablad!$AF$70:$AM$83,AU568+2,M572)</f>
        <v>10.9</v>
      </c>
      <c r="AV573">
        <v>3</v>
      </c>
      <c r="AW573" s="4" t="str">
        <f t="shared" ca="1" si="428"/>
        <v>n.v.t.</v>
      </c>
      <c r="AX573" s="4" t="str">
        <f t="shared" ca="1" si="429"/>
        <v>n.v.t.</v>
      </c>
      <c r="AY573" s="4" t="str">
        <f t="shared" ca="1" si="430"/>
        <v>n.v.t.</v>
      </c>
      <c r="AZ573" s="4" t="str">
        <f t="shared" ca="1" si="431"/>
        <v>n.v.t.</v>
      </c>
      <c r="BA573" s="4" t="str">
        <f t="shared" ca="1" si="432"/>
        <v>n.v.t.</v>
      </c>
      <c r="BB573" s="4" t="str">
        <f t="shared" ca="1" si="433"/>
        <v>n.v.t.</v>
      </c>
      <c r="BC573" s="4" t="str">
        <f t="shared" ca="1" si="434"/>
        <v>n.v.t.</v>
      </c>
      <c r="BD573" s="4" t="str">
        <f t="shared" ca="1" si="435"/>
        <v>n.v.t.</v>
      </c>
      <c r="BE573" s="4" t="str">
        <f t="shared" ca="1" si="436"/>
        <v>n.v.t.</v>
      </c>
      <c r="BF573" s="4" t="str">
        <f t="shared" ca="1" si="437"/>
        <v>n.v.t.</v>
      </c>
      <c r="BG573" s="4" t="str">
        <f t="shared" ca="1" si="438"/>
        <v>n.v.t.</v>
      </c>
      <c r="BH573" s="4" t="str">
        <f t="shared" ca="1" si="439"/>
        <v>n.v.t.</v>
      </c>
    </row>
    <row r="574" spans="3:64" x14ac:dyDescent="0.3">
      <c r="K574" t="s">
        <v>366</v>
      </c>
      <c r="L574" t="s">
        <v>367</v>
      </c>
      <c r="M574" t="s">
        <v>370</v>
      </c>
      <c r="P574">
        <v>60</v>
      </c>
      <c r="Q574">
        <v>4</v>
      </c>
      <c r="R574" t="str">
        <f ca="1">IF(N571=P574,"ja","nee")</f>
        <v>nee</v>
      </c>
      <c r="S574" t="str">
        <f ca="1">IF(AND(N571&gt;P574,N571&lt;P575),Q574,"n.v.t.")</f>
        <v>n.v.t.</v>
      </c>
      <c r="T574" t="str">
        <f t="shared" ca="1" si="427"/>
        <v>n.v.t.</v>
      </c>
      <c r="U574" t="str">
        <f ca="1">IF(S574="n.v.t.","n.v.t.",(P575-N571)/(P575-P574))</f>
        <v>n.v.t.</v>
      </c>
      <c r="V574" t="str">
        <f ca="1">IF(T574="n.v.t.","n.v.t.",(N571-P574)/(P575-P574))</f>
        <v>n.v.t.</v>
      </c>
      <c r="W574" s="4" cm="1">
        <f t="array" ref="W574">INDEX(Datablad!$AF$70:$AM$83,W568+2,M572)</f>
        <v>13.4</v>
      </c>
      <c r="X574" s="4" cm="1">
        <f t="array" ref="X574">INDEX(Datablad!$AF$70:$AM$83,X568+2,M572)</f>
        <v>24.1</v>
      </c>
      <c r="Y574" s="4" cm="1">
        <f t="array" ref="Y574">INDEX(Datablad!$AF$70:$AM$83,Y568+2,M572)</f>
        <v>41.5</v>
      </c>
      <c r="Z574" s="4" cm="1">
        <f t="array" ref="Z574">INDEX(Datablad!$AF$70:$AM$83,Z568+2,M572)</f>
        <v>57.8</v>
      </c>
      <c r="AA574" s="4" cm="1">
        <f t="array" ref="AA574">INDEX(Datablad!$AF$70:$AM$83,AA568+2,M572)</f>
        <v>78.5</v>
      </c>
      <c r="AB574" s="4" cm="1">
        <f t="array" ref="AB574">INDEX(Datablad!$AF$70:$AM$83,AB568+2,M572)</f>
        <v>102.9</v>
      </c>
      <c r="AC574" s="4" cm="1">
        <f t="array" ref="AC574">INDEX(Datablad!$AF$70:$AM$83,AC568+2,M572)</f>
        <v>90.4</v>
      </c>
      <c r="AD574" s="4" cm="1">
        <f t="array" ref="AD574">INDEX(Datablad!$AF$70:$AM$83,AD568+2,M572)</f>
        <v>68</v>
      </c>
      <c r="AE574" s="4" cm="1">
        <f t="array" ref="AE574">INDEX(Datablad!$AF$70:$AM$83,AE568+2,M572)</f>
        <v>48.6</v>
      </c>
      <c r="AF574" s="4" cm="1">
        <f t="array" ref="AF574">INDEX(Datablad!$AF$70:$AM$83,AF568+2,M572)</f>
        <v>31.5</v>
      </c>
      <c r="AG574" s="4" cm="1">
        <f t="array" ref="AG574">INDEX(Datablad!$AF$70:$AM$83,AG568+2,M572)</f>
        <v>16.600000000000001</v>
      </c>
      <c r="AH574" s="4" cm="1">
        <f t="array" ref="AH574">INDEX(Datablad!$AF$70:$AM$83,AH568+2,M572)</f>
        <v>10.9</v>
      </c>
      <c r="AI574" s="10"/>
      <c r="AJ574" s="4" cm="1">
        <f t="array" ref="AJ574">INDEX(Datablad!$AO$70:$AV$83,AJ568+2,M572)</f>
        <v>11.1</v>
      </c>
      <c r="AK574" s="4" cm="1">
        <f t="array" ref="AK574">INDEX(Datablad!$AO$70:$AV$83,AK568+2,M572)</f>
        <v>19.5</v>
      </c>
      <c r="AL574" s="4" cm="1">
        <f t="array" ref="AL574">INDEX(Datablad!$AO$70:$AV$83,AL568+2,M572)</f>
        <v>34.799999999999997</v>
      </c>
      <c r="AM574" s="4" cm="1">
        <f t="array" ref="AM574">INDEX(Datablad!$AO$70:$AV$83,AM568+2,M572)</f>
        <v>49.4</v>
      </c>
      <c r="AN574" s="4" cm="1">
        <f t="array" ref="AN574">INDEX(Datablad!$AO$70:$AV$83,AN568+2,M572)</f>
        <v>61.9</v>
      </c>
      <c r="AO574" s="4" cm="1">
        <f t="array" ref="AO574">INDEX(Datablad!$AO$70:$AV$83,AO568+2,M572)</f>
        <v>73</v>
      </c>
      <c r="AP574" s="4" cm="1">
        <f t="array" ref="AP574">INDEX(Datablad!$AO$70:$AV$83,AP568+2,M572)</f>
        <v>66.7</v>
      </c>
      <c r="AQ574" s="4" cm="1">
        <f t="array" ref="AQ574">INDEX(Datablad!$AO$70:$AV$83,AQ568+2,M572)</f>
        <v>55.9</v>
      </c>
      <c r="AR574" s="4" cm="1">
        <f t="array" ref="AR574">INDEX(Datablad!$AO$70:$AV$83,AR568+2,M572)</f>
        <v>41.4</v>
      </c>
      <c r="AS574" s="4" cm="1">
        <f t="array" ref="AS574">INDEX(Datablad!$AO$70:$AV$83,AS568+2,M572)</f>
        <v>26.4</v>
      </c>
      <c r="AT574" s="4" cm="1">
        <f t="array" ref="AT574">INDEX(Datablad!$AO$70:$AV$83,AT568+2,M572)</f>
        <v>13.6</v>
      </c>
      <c r="AU574" s="4" cm="1">
        <f t="array" ref="AU574">INDEX(Datablad!$AO$70:$AV$83,AU568+2,M572)</f>
        <v>8.9</v>
      </c>
      <c r="AV574">
        <v>4</v>
      </c>
      <c r="AW574" s="4" t="str">
        <f t="shared" ca="1" si="428"/>
        <v>n.v.t.</v>
      </c>
      <c r="AX574" s="4" t="str">
        <f t="shared" ca="1" si="429"/>
        <v>n.v.t.</v>
      </c>
      <c r="AY574" s="4" t="str">
        <f t="shared" ca="1" si="430"/>
        <v>n.v.t.</v>
      </c>
      <c r="AZ574" s="4" t="str">
        <f t="shared" ca="1" si="431"/>
        <v>n.v.t.</v>
      </c>
      <c r="BA574" s="4" t="str">
        <f t="shared" ca="1" si="432"/>
        <v>n.v.t.</v>
      </c>
      <c r="BB574" s="4" t="str">
        <f t="shared" ca="1" si="433"/>
        <v>n.v.t.</v>
      </c>
      <c r="BC574" s="4" t="str">
        <f t="shared" ca="1" si="434"/>
        <v>n.v.t.</v>
      </c>
      <c r="BD574" s="4" t="str">
        <f t="shared" ca="1" si="435"/>
        <v>n.v.t.</v>
      </c>
      <c r="BE574" s="4" t="str">
        <f t="shared" ca="1" si="436"/>
        <v>n.v.t.</v>
      </c>
      <c r="BF574" s="4" t="str">
        <f t="shared" ca="1" si="437"/>
        <v>n.v.t.</v>
      </c>
      <c r="BG574" s="4" t="str">
        <f t="shared" ca="1" si="438"/>
        <v>n.v.t.</v>
      </c>
      <c r="BH574" s="4" t="str">
        <f t="shared" ca="1" si="439"/>
        <v>n.v.t.</v>
      </c>
      <c r="BL574" t="s">
        <v>64</v>
      </c>
    </row>
    <row r="575" spans="3:64" x14ac:dyDescent="0.3">
      <c r="K575">
        <v>1</v>
      </c>
      <c r="L575" s="11" t="s">
        <v>368</v>
      </c>
      <c r="M575">
        <v>1</v>
      </c>
      <c r="P575">
        <v>90</v>
      </c>
      <c r="Q575">
        <v>5</v>
      </c>
      <c r="R575" t="str">
        <f ca="1">IF(N571=P575,"ja","nee")</f>
        <v>nee</v>
      </c>
      <c r="S575" t="str">
        <f ca="1">IF(AND(N571&gt;P575,N571&lt;P576),Q575,"n.v.t.")</f>
        <v>n.v.t.</v>
      </c>
      <c r="T575" t="str">
        <f t="shared" ca="1" si="427"/>
        <v>n.v.t.</v>
      </c>
      <c r="U575" t="str">
        <f ca="1">IF(S575="n.v.t.","n.v.t.",(P576-N571)/(P576-P575))</f>
        <v>n.v.t.</v>
      </c>
      <c r="V575" t="str">
        <f ca="1">IF(T575="n.v.t.","n.v.t.",(N571-P575)/(P576-P575))</f>
        <v>n.v.t.</v>
      </c>
      <c r="W575" s="4" cm="1">
        <f t="array" ref="W575">INDEX(Datablad!$AO$70:$AV$83,W568+2,M572)</f>
        <v>11.1</v>
      </c>
      <c r="X575" s="4" cm="1">
        <f t="array" ref="X575">INDEX(Datablad!$AO$70:$AV$83,X568+2,M572)</f>
        <v>19.5</v>
      </c>
      <c r="Y575" s="4" cm="1">
        <f t="array" ref="Y575">INDEX(Datablad!$AO$70:$AV$83,Y568+2,M572)</f>
        <v>34.799999999999997</v>
      </c>
      <c r="Z575" s="4" cm="1">
        <f t="array" ref="Z575">INDEX(Datablad!$AO$70:$AV$83,Z568+2,M572)</f>
        <v>49.4</v>
      </c>
      <c r="AA575" s="4" cm="1">
        <f t="array" ref="AA575">INDEX(Datablad!$AO$70:$AV$83,AA568+2,M572)</f>
        <v>61.9</v>
      </c>
      <c r="AB575" s="4" cm="1">
        <f t="array" ref="AB575">INDEX(Datablad!$AO$70:$AV$83,AB568+2,M572)</f>
        <v>73</v>
      </c>
      <c r="AC575" s="4" cm="1">
        <f t="array" ref="AC575">INDEX(Datablad!$AO$70:$AV$83,AC568+2,M572)</f>
        <v>66.7</v>
      </c>
      <c r="AD575" s="4" cm="1">
        <f t="array" ref="AD575">INDEX(Datablad!$AO$70:$AV$83,AD568+2,M572)</f>
        <v>55.9</v>
      </c>
      <c r="AE575" s="4" cm="1">
        <f t="array" ref="AE575">INDEX(Datablad!$AO$70:$AV$83,AE568+2,M572)</f>
        <v>41.4</v>
      </c>
      <c r="AF575" s="4" cm="1">
        <f t="array" ref="AF575">INDEX(Datablad!$AO$70:$AV$83,AF568+2,M572)</f>
        <v>26.4</v>
      </c>
      <c r="AG575" s="4" cm="1">
        <f t="array" ref="AG575">INDEX(Datablad!$AO$70:$AV$83,AG568+2,M572)</f>
        <v>13.6</v>
      </c>
      <c r="AH575" s="4" cm="1">
        <f t="array" ref="AH575">INDEX(Datablad!$AO$70:$AV$83,AH568+2,M572)</f>
        <v>8.9</v>
      </c>
      <c r="AI575" s="10"/>
      <c r="AJ575" s="4" cm="1">
        <f t="array" ref="AJ575">INDEX(Datablad!$AX$70:$BE$83,AJ568+2,M572)</f>
        <v>7.5</v>
      </c>
      <c r="AK575" s="4" cm="1">
        <f t="array" ref="AK575">INDEX(Datablad!$AX$70:$BE$83,AK568+2,M572)</f>
        <v>12.9</v>
      </c>
      <c r="AL575" s="4" cm="1">
        <f t="array" ref="AL575">INDEX(Datablad!$AX$70:$BE$83,AL568+2,M572)</f>
        <v>24.5</v>
      </c>
      <c r="AM575" s="4" cm="1">
        <f t="array" ref="AM575">INDEX(Datablad!$AX$70:$BE$83,AM568+2,M572)</f>
        <v>38.299999999999997</v>
      </c>
      <c r="AN575" s="4" cm="1">
        <f t="array" ref="AN575">INDEX(Datablad!$AX$70:$BE$83,AN568+2,M572)</f>
        <v>46.7</v>
      </c>
      <c r="AO575" s="4" cm="1">
        <f t="array" ref="AO575">INDEX(Datablad!$AX$70:$BE$83,AO568+2,M572)</f>
        <v>50.6</v>
      </c>
      <c r="AP575" s="4" cm="1">
        <f t="array" ref="AP575">INDEX(Datablad!$AX$70:$BE$83,AP568+2,M572)</f>
        <v>46.5</v>
      </c>
      <c r="AQ575" s="4" cm="1">
        <f t="array" ref="AQ575">INDEX(Datablad!$AX$70:$BE$83,AQ568+2,M572)</f>
        <v>42.1</v>
      </c>
      <c r="AR575" s="4" cm="1">
        <f t="array" ref="AR575">INDEX(Datablad!$AX$70:$BE$83,AR568+2,M572)</f>
        <v>30.4</v>
      </c>
      <c r="AS575" s="4" cm="1">
        <f t="array" ref="AS575">INDEX(Datablad!$AX$70:$BE$83,AS568+2,M572)</f>
        <v>18.600000000000001</v>
      </c>
      <c r="AT575" s="4" cm="1">
        <f t="array" ref="AT575">INDEX(Datablad!$AX$70:$BE$83,AT568+2,M572)</f>
        <v>9.1</v>
      </c>
      <c r="AU575" s="4" cm="1">
        <f t="array" ref="AU575">INDEX(Datablad!$AX$70:$BE$83,AU568+2,M572)</f>
        <v>5.8</v>
      </c>
      <c r="AV575">
        <v>5</v>
      </c>
      <c r="AW575" s="4" t="str">
        <f t="shared" ca="1" si="428"/>
        <v>n.v.t.</v>
      </c>
      <c r="AX575" s="4" t="str">
        <f t="shared" ca="1" si="429"/>
        <v>n.v.t.</v>
      </c>
      <c r="AY575" s="4" t="str">
        <f t="shared" ca="1" si="430"/>
        <v>n.v.t.</v>
      </c>
      <c r="AZ575" s="4" t="str">
        <f t="shared" ca="1" si="431"/>
        <v>n.v.t.</v>
      </c>
      <c r="BA575" s="4" t="str">
        <f t="shared" ca="1" si="432"/>
        <v>n.v.t.</v>
      </c>
      <c r="BB575" s="4" t="str">
        <f t="shared" ca="1" si="433"/>
        <v>n.v.t.</v>
      </c>
      <c r="BC575" s="4" t="str">
        <f t="shared" ca="1" si="434"/>
        <v>n.v.t.</v>
      </c>
      <c r="BD575" s="4" t="str">
        <f t="shared" ca="1" si="435"/>
        <v>n.v.t.</v>
      </c>
      <c r="BE575" s="4" t="str">
        <f t="shared" ca="1" si="436"/>
        <v>n.v.t.</v>
      </c>
      <c r="BF575" s="4" t="str">
        <f t="shared" ca="1" si="437"/>
        <v>n.v.t.</v>
      </c>
      <c r="BG575" s="4" t="str">
        <f t="shared" ca="1" si="438"/>
        <v>n.v.t.</v>
      </c>
      <c r="BH575" s="4" t="str">
        <f t="shared" ca="1" si="439"/>
        <v>n.v.t.</v>
      </c>
    </row>
    <row r="576" spans="3:64" x14ac:dyDescent="0.3">
      <c r="K576">
        <v>2</v>
      </c>
      <c r="L576" s="11" t="s">
        <v>183</v>
      </c>
      <c r="M576">
        <v>5</v>
      </c>
      <c r="P576">
        <v>135</v>
      </c>
      <c r="Q576">
        <v>6</v>
      </c>
      <c r="R576" t="str">
        <f ca="1">IF(N571=P576,"ja","nee")</f>
        <v>nee</v>
      </c>
      <c r="S576" t="str">
        <f ca="1">IF(AND(N571&gt;P576,N571&lt;P577),Q576,"n.v.t.")</f>
        <v>n.v.t.</v>
      </c>
      <c r="T576" t="str">
        <f t="shared" ca="1" si="427"/>
        <v>n.v.t.</v>
      </c>
      <c r="U576" t="str">
        <f ca="1">IF(S576="n.v.t.","n.v.t.",(P577-N571)/(P577-P576))</f>
        <v>n.v.t.</v>
      </c>
      <c r="V576" t="str">
        <f ca="1">IF(T576="n.v.t.","n.v.t.",(N571-P576)/(P577-P576))</f>
        <v>n.v.t.</v>
      </c>
      <c r="W576" s="4" cm="1">
        <f t="array" ref="W576">INDEX(Datablad!$AX$70:$BE$83,W568+2,M572)</f>
        <v>7.5</v>
      </c>
      <c r="X576" s="4" cm="1">
        <f t="array" ref="X576">INDEX(Datablad!$AX$70:$BE$83,X568+2,M572)</f>
        <v>12.9</v>
      </c>
      <c r="Y576" s="4" cm="1">
        <f t="array" ref="Y576">INDEX(Datablad!$AX$70:$BE$83,Y568+2,M572)</f>
        <v>24.5</v>
      </c>
      <c r="Z576" s="4" cm="1">
        <f t="array" ref="Z576">INDEX(Datablad!$AX$70:$BE$83,Z568+2,M572)</f>
        <v>38.299999999999997</v>
      </c>
      <c r="AA576" s="4" cm="1">
        <f t="array" ref="AA576">INDEX(Datablad!$AX$70:$BE$83,AA568+2,M572)</f>
        <v>46.7</v>
      </c>
      <c r="AB576" s="4" cm="1">
        <f t="array" ref="AB576">INDEX(Datablad!$AX$70:$BE$83,AB568+2,M572)</f>
        <v>50.6</v>
      </c>
      <c r="AC576" s="4" cm="1">
        <f t="array" ref="AC576">INDEX(Datablad!$AX$70:$BE$83,AC568+2,M572)</f>
        <v>46.5</v>
      </c>
      <c r="AD576" s="4" cm="1">
        <f t="array" ref="AD576">INDEX(Datablad!$AX$70:$BE$83,AD568+2,M572)</f>
        <v>42.1</v>
      </c>
      <c r="AE576" s="4" cm="1">
        <f t="array" ref="AE576">INDEX(Datablad!$AX$70:$BE$83,AE568+2,M572)</f>
        <v>30.4</v>
      </c>
      <c r="AF576" s="4" cm="1">
        <f t="array" ref="AF576">INDEX(Datablad!$AX$70:$BE$83,AF568+2,M572)</f>
        <v>18.600000000000001</v>
      </c>
      <c r="AG576" s="4" cm="1">
        <f t="array" ref="AG576">INDEX(Datablad!$AX$70:$BE$83,AG568+2,M572)</f>
        <v>9.1</v>
      </c>
      <c r="AH576" s="4" cm="1">
        <f t="array" ref="AH576">INDEX(Datablad!$AX$70:$BE$83,AH568+2,M572)</f>
        <v>5.8</v>
      </c>
      <c r="AI576" s="10"/>
      <c r="AJ576" s="4" cm="1">
        <f t="array" ref="AJ576">INDEX(Datablad!$BG$70:$BN$83,AJ568+2,M572)</f>
        <v>5.6</v>
      </c>
      <c r="AK576" s="4" cm="1">
        <f t="array" ref="AK576">INDEX(Datablad!$BG$70:$BN$83,AK568+2,M572)</f>
        <v>9.8000000000000007</v>
      </c>
      <c r="AL576" s="4" cm="1">
        <f t="array" ref="AL576">INDEX(Datablad!$BG$70:$BN$83,AL568+2,M572)</f>
        <v>19.3</v>
      </c>
      <c r="AM576" s="4" cm="1">
        <f t="array" ref="AM576">INDEX(Datablad!$BG$70:$BN$83,AM568+2,M572)</f>
        <v>32.1</v>
      </c>
      <c r="AN576" s="4" cm="1">
        <f t="array" ref="AN576">INDEX(Datablad!$BG$70:$BN$83,AN568+2,M572)</f>
        <v>39.299999999999997</v>
      </c>
      <c r="AO576" s="4" cm="1">
        <f t="array" ref="AO576">INDEX(Datablad!$BG$70:$BN$83,AO568+2,M572)</f>
        <v>41.8</v>
      </c>
      <c r="AP576" s="4" cm="1">
        <f t="array" ref="AP576">INDEX(Datablad!$BG$70:$BN$83,AP568+2,M572)</f>
        <v>38.200000000000003</v>
      </c>
      <c r="AQ576" s="4" cm="1">
        <f t="array" ref="AQ576">INDEX(Datablad!$BG$70:$BN$83,AQ568+2,M572)</f>
        <v>35.299999999999997</v>
      </c>
      <c r="AR576" s="4" cm="1">
        <f t="array" ref="AR576">INDEX(Datablad!$BG$70:$BN$83,AR568+2,M572)</f>
        <v>24.7</v>
      </c>
      <c r="AS576" s="4" cm="1">
        <f t="array" ref="AS576">INDEX(Datablad!$BG$70:$BN$83,AS568+2,M572)</f>
        <v>14.6</v>
      </c>
      <c r="AT576" s="4" cm="1">
        <f t="array" ref="AT576">INDEX(Datablad!$BG$70:$BN$83,AT568+2,M572)</f>
        <v>6.9</v>
      </c>
      <c r="AU576" s="4" cm="1">
        <f t="array" ref="AU576">INDEX(Datablad!$BG$70:$BN$83,AU568+2,M572)</f>
        <v>4.2</v>
      </c>
      <c r="AV576">
        <v>6</v>
      </c>
      <c r="AW576" s="4" t="str">
        <f t="shared" ca="1" si="428"/>
        <v>n.v.t.</v>
      </c>
      <c r="AX576" s="4" t="str">
        <f t="shared" ca="1" si="429"/>
        <v>n.v.t.</v>
      </c>
      <c r="AY576" s="4" t="str">
        <f t="shared" ca="1" si="430"/>
        <v>n.v.t.</v>
      </c>
      <c r="AZ576" s="4" t="str">
        <f t="shared" ca="1" si="431"/>
        <v>n.v.t.</v>
      </c>
      <c r="BA576" s="4" t="str">
        <f t="shared" ca="1" si="432"/>
        <v>n.v.t.</v>
      </c>
      <c r="BB576" s="4" t="str">
        <f t="shared" ca="1" si="433"/>
        <v>n.v.t.</v>
      </c>
      <c r="BC576" s="4" t="str">
        <f t="shared" ca="1" si="434"/>
        <v>n.v.t.</v>
      </c>
      <c r="BD576" s="4" t="str">
        <f t="shared" ca="1" si="435"/>
        <v>n.v.t.</v>
      </c>
      <c r="BE576" s="4" t="str">
        <f t="shared" ca="1" si="436"/>
        <v>n.v.t.</v>
      </c>
      <c r="BF576" s="4" t="str">
        <f t="shared" ca="1" si="437"/>
        <v>n.v.t.</v>
      </c>
      <c r="BG576" s="4" t="str">
        <f t="shared" ca="1" si="438"/>
        <v>n.v.t.</v>
      </c>
      <c r="BH576" s="4" t="str">
        <f t="shared" ca="1" si="439"/>
        <v>n.v.t.</v>
      </c>
    </row>
    <row r="577" spans="9:64" x14ac:dyDescent="0.3">
      <c r="K577">
        <v>3</v>
      </c>
      <c r="L577" s="11" t="s">
        <v>184</v>
      </c>
      <c r="M577">
        <v>6</v>
      </c>
      <c r="P577">
        <v>180</v>
      </c>
      <c r="Q577">
        <v>7</v>
      </c>
      <c r="R577" t="str">
        <f ca="1">IF(N571=P577,"ja","nee")</f>
        <v>nee</v>
      </c>
      <c r="S577" t="str">
        <f ca="1">IF(AND(N571&gt;P577,N571&lt;P578),Q577,"n.v.t.")</f>
        <v>n.v.t.</v>
      </c>
      <c r="T577" t="str">
        <f t="shared" ca="1" si="427"/>
        <v>n.v.t.</v>
      </c>
      <c r="U577" t="str">
        <f ca="1">IF(S577="n.v.t.","n.v.t.",(P578-N571)/(P578-P577))</f>
        <v>n.v.t.</v>
      </c>
      <c r="V577" t="str">
        <f ca="1">IF(T577="n.v.t.","n.v.t.",(N571-P577)/(P578-P577))</f>
        <v>n.v.t.</v>
      </c>
      <c r="W577" s="4" cm="1">
        <f t="array" ref="W577">INDEX(Datablad!$BG$70:$BN$83,W568+2,M572)</f>
        <v>5.6</v>
      </c>
      <c r="X577" s="4" cm="1">
        <f t="array" ref="X577">INDEX(Datablad!$BG$70:$BN$83,X568+2,M572)</f>
        <v>9.8000000000000007</v>
      </c>
      <c r="Y577" s="4" cm="1">
        <f t="array" ref="Y577">INDEX(Datablad!$BG$70:$BN$83,Y568+2,M572)</f>
        <v>19.3</v>
      </c>
      <c r="Z577" s="4" cm="1">
        <f t="array" ref="Z577">INDEX(Datablad!$BG$70:$BN$83,Z568+2,M572)</f>
        <v>32.1</v>
      </c>
      <c r="AA577" s="4" cm="1">
        <f t="array" ref="AA577">INDEX(Datablad!$BG$70:$BN$83,AA568+2,M572)</f>
        <v>39.299999999999997</v>
      </c>
      <c r="AB577" s="4" cm="1">
        <f t="array" ref="AB577">INDEX(Datablad!$BG$70:$BN$83,AB568+2,M572)</f>
        <v>41.8</v>
      </c>
      <c r="AC577" s="4" cm="1">
        <f t="array" ref="AC577">INDEX(Datablad!$BG$70:$BN$83,AC568+2,M572)</f>
        <v>38.200000000000003</v>
      </c>
      <c r="AD577" s="4" cm="1">
        <f t="array" ref="AD577">INDEX(Datablad!$BG$70:$BN$83,AD568+2,M572)</f>
        <v>35.299999999999997</v>
      </c>
      <c r="AE577" s="4" cm="1">
        <f t="array" ref="AE577">INDEX(Datablad!$BG$70:$BN$83,AE568+2,M572)</f>
        <v>24.7</v>
      </c>
      <c r="AF577" s="4" cm="1">
        <f t="array" ref="AF577">INDEX(Datablad!$BG$70:$BN$83,AF568+2,M572)</f>
        <v>14.6</v>
      </c>
      <c r="AG577" s="4" cm="1">
        <f t="array" ref="AG577">INDEX(Datablad!$BG$70:$BN$83,AG568+2,M572)</f>
        <v>6.9</v>
      </c>
      <c r="AH577" s="4" cm="1">
        <f t="array" ref="AH577">INDEX(Datablad!$BG$70:$BN$83,AH568+2,M572)</f>
        <v>4.2</v>
      </c>
      <c r="AI577" s="10"/>
      <c r="AV577">
        <v>7</v>
      </c>
      <c r="AW577" s="4" t="str">
        <f t="shared" ca="1" si="428"/>
        <v>n.v.t.</v>
      </c>
      <c r="AX577" s="4" t="str">
        <f t="shared" ca="1" si="429"/>
        <v>n.v.t.</v>
      </c>
      <c r="AY577" s="4" t="str">
        <f t="shared" ca="1" si="430"/>
        <v>n.v.t.</v>
      </c>
      <c r="AZ577" s="4" t="str">
        <f t="shared" ca="1" si="431"/>
        <v>n.v.t.</v>
      </c>
      <c r="BA577" s="4" t="str">
        <f t="shared" ca="1" si="432"/>
        <v>n.v.t.</v>
      </c>
      <c r="BB577" s="4" t="str">
        <f t="shared" ca="1" si="433"/>
        <v>n.v.t.</v>
      </c>
      <c r="BC577" s="4" t="str">
        <f t="shared" ca="1" si="434"/>
        <v>n.v.t.</v>
      </c>
      <c r="BD577" s="4" t="str">
        <f t="shared" ca="1" si="435"/>
        <v>n.v.t.</v>
      </c>
      <c r="BE577" s="4" t="str">
        <f t="shared" ca="1" si="436"/>
        <v>n.v.t.</v>
      </c>
      <c r="BF577" s="4" t="str">
        <f t="shared" ca="1" si="437"/>
        <v>n.v.t.</v>
      </c>
      <c r="BG577" s="4" t="str">
        <f t="shared" ca="1" si="438"/>
        <v>n.v.t.</v>
      </c>
      <c r="BH577" s="4" t="str">
        <f t="shared" ca="1" si="439"/>
        <v>n.v.t.</v>
      </c>
    </row>
    <row r="578" spans="9:64" x14ac:dyDescent="0.3">
      <c r="K578">
        <v>4</v>
      </c>
      <c r="L578" s="11" t="s">
        <v>185</v>
      </c>
      <c r="M578">
        <v>7</v>
      </c>
    </row>
    <row r="579" spans="9:64" x14ac:dyDescent="0.3">
      <c r="K579">
        <v>5</v>
      </c>
      <c r="L579" s="11" t="s">
        <v>186</v>
      </c>
      <c r="M579">
        <v>8</v>
      </c>
    </row>
    <row r="580" spans="9:64" x14ac:dyDescent="0.3">
      <c r="K580">
        <v>6</v>
      </c>
      <c r="L580" s="11" t="s">
        <v>180</v>
      </c>
      <c r="M580">
        <v>1</v>
      </c>
    </row>
    <row r="581" spans="9:64" x14ac:dyDescent="0.3">
      <c r="K581">
        <v>7</v>
      </c>
      <c r="L581" s="11" t="s">
        <v>176</v>
      </c>
      <c r="M581">
        <v>2</v>
      </c>
    </row>
    <row r="582" spans="9:64" x14ac:dyDescent="0.3">
      <c r="K582">
        <v>8</v>
      </c>
      <c r="L582" s="11" t="s">
        <v>181</v>
      </c>
      <c r="M582">
        <v>3</v>
      </c>
    </row>
    <row r="583" spans="9:64" x14ac:dyDescent="0.3">
      <c r="K583">
        <v>9</v>
      </c>
      <c r="L583" s="11" t="s">
        <v>182</v>
      </c>
      <c r="M583">
        <v>4</v>
      </c>
      <c r="BL583" t="s">
        <v>66</v>
      </c>
    </row>
    <row r="584" spans="9:64" x14ac:dyDescent="0.3">
      <c r="I584" s="1" t="s">
        <v>230</v>
      </c>
      <c r="T584" t="s">
        <v>199</v>
      </c>
      <c r="U584" t="s">
        <v>172</v>
      </c>
    </row>
    <row r="585" spans="9:64" x14ac:dyDescent="0.3">
      <c r="P585" s="4">
        <v>1</v>
      </c>
      <c r="Q585" t="s">
        <v>147</v>
      </c>
      <c r="T585" t="s">
        <v>198</v>
      </c>
      <c r="U585" t="s">
        <v>200</v>
      </c>
      <c r="V585" t="s">
        <v>201</v>
      </c>
      <c r="BL585" t="s">
        <v>67</v>
      </c>
    </row>
    <row r="586" spans="9:64" x14ac:dyDescent="0.3">
      <c r="P586" s="4">
        <v>2</v>
      </c>
      <c r="Q586" t="s">
        <v>148</v>
      </c>
      <c r="T586" t="s">
        <v>196</v>
      </c>
      <c r="U586" t="s">
        <v>202</v>
      </c>
    </row>
    <row r="587" spans="9:64" x14ac:dyDescent="0.3">
      <c r="P587" s="4">
        <v>3</v>
      </c>
      <c r="Q587" t="s">
        <v>149</v>
      </c>
      <c r="T587" t="s">
        <v>196</v>
      </c>
      <c r="U587" t="s">
        <v>202</v>
      </c>
      <c r="BL587" t="s">
        <v>68</v>
      </c>
    </row>
    <row r="588" spans="9:64" x14ac:dyDescent="0.3">
      <c r="P588" s="4">
        <v>4</v>
      </c>
      <c r="Q588" t="s">
        <v>150</v>
      </c>
      <c r="T588" t="s">
        <v>196</v>
      </c>
      <c r="U588" t="s">
        <v>202</v>
      </c>
    </row>
    <row r="589" spans="9:64" x14ac:dyDescent="0.3">
      <c r="P589" s="4">
        <v>5</v>
      </c>
      <c r="Q589" t="s">
        <v>151</v>
      </c>
      <c r="T589" t="s">
        <v>197</v>
      </c>
      <c r="U589" t="s">
        <v>203</v>
      </c>
    </row>
    <row r="590" spans="9:64" x14ac:dyDescent="0.3">
      <c r="P590" s="4">
        <v>6</v>
      </c>
      <c r="Q590" t="s">
        <v>152</v>
      </c>
      <c r="T590" t="s">
        <v>197</v>
      </c>
      <c r="U590" t="s">
        <v>203</v>
      </c>
    </row>
    <row r="592" spans="9:64" x14ac:dyDescent="0.3">
      <c r="P592" t="s">
        <v>3</v>
      </c>
      <c r="Q592" t="s">
        <v>4</v>
      </c>
      <c r="R592" t="s">
        <v>5</v>
      </c>
      <c r="S592" t="s">
        <v>6</v>
      </c>
      <c r="T592" t="s">
        <v>7</v>
      </c>
      <c r="U592" t="s">
        <v>8</v>
      </c>
      <c r="V592" t="s">
        <v>9</v>
      </c>
      <c r="W592" t="s">
        <v>10</v>
      </c>
      <c r="X592" t="s">
        <v>11</v>
      </c>
      <c r="Y592" t="s">
        <v>12</v>
      </c>
      <c r="Z592" t="s">
        <v>13</v>
      </c>
      <c r="AA592" t="s">
        <v>14</v>
      </c>
    </row>
    <row r="593" spans="9:66" x14ac:dyDescent="0.3">
      <c r="M593" t="s">
        <v>234</v>
      </c>
      <c r="P593" s="18">
        <f ca="1">IF($I599=1,P600,IF(OR($I599=2,$I599=3,$I599=4),Y600,AR600))</f>
        <v>0.55000000000000004</v>
      </c>
      <c r="Q593" s="18">
        <f ca="1">IF($I599=1,P601,IF(OR($I599=2,$I599=3,$I599=4),Y601,AR601))</f>
        <v>0.57999999999999996</v>
      </c>
      <c r="R593" s="18">
        <f ca="1">IF($I599=1,P602,IF(OR($I599=2,$I599=3,$I599=4),Y602,AR602))</f>
        <v>0.49</v>
      </c>
      <c r="S593" s="18">
        <f ca="1">IF($I599=1,P603,IF(OR($I599=2,$I599=3,$I599=4),Y603,AR603))</f>
        <v>0.36</v>
      </c>
      <c r="T593" s="18">
        <f ca="1">IF($I599=1,P604,IF(OR($I599=2,$I599=3,$I599=4),Y604,AR604))</f>
        <v>0.34</v>
      </c>
      <c r="U593" s="18">
        <f ca="1">IF($I599=1,P605,IF(OR($I599=2,$I599=3,$I599=4),Y605,AR605))</f>
        <v>0.37</v>
      </c>
      <c r="V593" s="18">
        <f ca="1">IF($I599=1,P606,IF(OR($I599=2,$I599=3,$I599=4),Y606,AR606))</f>
        <v>0.41</v>
      </c>
      <c r="W593" s="18">
        <f ca="1">IF($I599=1,P607,IF(OR($I599=2,$I599=3,$I599=4),Y607,AR607))</f>
        <v>0.37</v>
      </c>
      <c r="X593" s="18">
        <f ca="1">IF($I599=1,P608,IF(OR($I599=2,$I599=3,$I599=4),Y608,AR608))</f>
        <v>0.43</v>
      </c>
      <c r="Y593" s="18">
        <f ca="1">IF($I599=1,P609,IF(OR($I599=2,$I599=3,$I599=4),Y609,AR609))</f>
        <v>0.48</v>
      </c>
      <c r="Z593" s="18">
        <f ca="1">IF($I599=1,P610,IF(OR($I599=2,$I599=3,$I599=4),Y610,AR610))</f>
        <v>0.56000000000000005</v>
      </c>
      <c r="AA593" s="18">
        <f ca="1">IF($I599=1,P611,IF(OR($I599=2,$I599=3,$I599=4),Y611,AR611))</f>
        <v>0.6</v>
      </c>
    </row>
    <row r="598" spans="9:66" x14ac:dyDescent="0.3">
      <c r="I598" t="s">
        <v>241</v>
      </c>
      <c r="N598" s="17" t="s">
        <v>245</v>
      </c>
      <c r="P598" s="15"/>
      <c r="Q598" s="15"/>
      <c r="S598" t="s">
        <v>380</v>
      </c>
      <c r="W598" s="17" t="s">
        <v>246</v>
      </c>
      <c r="Y598" s="15"/>
      <c r="Z598" s="15"/>
      <c r="AA598" s="15"/>
      <c r="AB598" s="15"/>
      <c r="AF598">
        <f ca="1">HLOOKUP(S602,Datablad!$H$96:$BQ$97,2,FALSE)</f>
        <v>1</v>
      </c>
      <c r="AG598" t="s">
        <v>249</v>
      </c>
      <c r="AL598" t="s">
        <v>380</v>
      </c>
      <c r="AP598" s="17" t="s">
        <v>247</v>
      </c>
    </row>
    <row r="599" spans="9:66" x14ac:dyDescent="0.3">
      <c r="I599" s="59" t="str">
        <f>'Drop-down'!$BG$8</f>
        <v>nvt</v>
      </c>
      <c r="O599" t="s">
        <v>231</v>
      </c>
      <c r="Q599" s="15"/>
      <c r="X599" t="s">
        <v>232</v>
      </c>
      <c r="AA599" t="s">
        <v>248</v>
      </c>
      <c r="AB599" t="s">
        <v>250</v>
      </c>
      <c r="AF599" t="e">
        <f ca="1">IF(S601=1,VLOOKUP(S600,$AE$70:$AF$72,2,FALSE),VLOOKUP(S600,$AE$73:$AF$75,2,FALSE))</f>
        <v>#N/A</v>
      </c>
      <c r="AG599" t="s">
        <v>251</v>
      </c>
      <c r="AK599" t="s">
        <v>235</v>
      </c>
      <c r="AL599" s="14" t="str">
        <f>I599</f>
        <v>nvt</v>
      </c>
      <c r="AM599" t="s">
        <v>236</v>
      </c>
      <c r="AQ599" t="s">
        <v>233</v>
      </c>
      <c r="AT599" t="s">
        <v>248</v>
      </c>
      <c r="AU599" t="s">
        <v>250</v>
      </c>
      <c r="AW599" t="s">
        <v>270</v>
      </c>
    </row>
    <row r="600" spans="9:66" x14ac:dyDescent="0.3">
      <c r="I600" t="s">
        <v>377</v>
      </c>
      <c r="O600" t="s">
        <v>3</v>
      </c>
      <c r="P600" s="15">
        <v>1</v>
      </c>
      <c r="Q600" s="15"/>
      <c r="S600" s="59" t="str">
        <f>I599</f>
        <v>nvt</v>
      </c>
      <c r="T600" t="s">
        <v>239</v>
      </c>
      <c r="X600" t="s">
        <v>71</v>
      </c>
      <c r="Y600" s="19" t="e" cm="1">
        <f t="array" aca="1" ref="Y600" ca="1">INDEX(Datablad!$H$102:$BQ$113,Rekenblad!AB600,Rekenblad!AA600)</f>
        <v>#N/A</v>
      </c>
      <c r="AA600" t="e">
        <f ca="1">AF598+AF599-1</f>
        <v>#N/A</v>
      </c>
      <c r="AB600">
        <v>1</v>
      </c>
      <c r="AD600" t="s">
        <v>218</v>
      </c>
      <c r="AF600" t="s">
        <v>248</v>
      </c>
      <c r="AG600" t="s">
        <v>252</v>
      </c>
      <c r="AL600" s="14">
        <f ca="1">I603</f>
        <v>0</v>
      </c>
      <c r="AM600" t="s">
        <v>174</v>
      </c>
      <c r="AQ600" t="s">
        <v>71</v>
      </c>
      <c r="AR600" s="19" cm="1">
        <f t="array" aca="1" ref="AR600" ca="1">INDEX(Datablad!$H$123:$DU$134,Rekenblad!AU600,Rekenblad!AT600)</f>
        <v>0.55000000000000004</v>
      </c>
      <c r="AT600">
        <f ca="1">$AX609+$AX607</f>
        <v>7</v>
      </c>
      <c r="AU600">
        <v>1</v>
      </c>
      <c r="AW600" t="s">
        <v>267</v>
      </c>
      <c r="AX600" t="s">
        <v>261</v>
      </c>
      <c r="AY600" s="9" t="s">
        <v>257</v>
      </c>
      <c r="AZ600" s="9" t="s">
        <v>256</v>
      </c>
      <c r="BA600" s="9" t="s">
        <v>255</v>
      </c>
      <c r="BB600" s="9" t="s">
        <v>262</v>
      </c>
      <c r="BC600" s="9" t="s">
        <v>254</v>
      </c>
      <c r="BD600" s="9" t="s">
        <v>253</v>
      </c>
      <c r="BE600" t="s">
        <v>264</v>
      </c>
      <c r="BF600" s="9" t="s">
        <v>263</v>
      </c>
      <c r="BG600" s="9" t="s">
        <v>258</v>
      </c>
      <c r="BH600" s="9" t="s">
        <v>259</v>
      </c>
      <c r="BI600" s="9" t="s">
        <v>265</v>
      </c>
      <c r="BJ600" s="9" t="s">
        <v>260</v>
      </c>
      <c r="BL600" s="9" t="s">
        <v>259</v>
      </c>
      <c r="BM600" s="9" t="s">
        <v>265</v>
      </c>
      <c r="BN600" s="9" t="s">
        <v>260</v>
      </c>
    </row>
    <row r="601" spans="9:66" x14ac:dyDescent="0.3">
      <c r="I601" s="58">
        <f ca="1">IF('Drop-down'!$BJ$8=3,2,1)</f>
        <v>1</v>
      </c>
      <c r="O601" t="s">
        <v>4</v>
      </c>
      <c r="P601" s="15">
        <v>1</v>
      </c>
      <c r="Q601" s="15"/>
      <c r="S601" s="59">
        <f ca="1">I601</f>
        <v>1</v>
      </c>
      <c r="T601" t="s">
        <v>240</v>
      </c>
      <c r="X601" t="s">
        <v>73</v>
      </c>
      <c r="Y601" s="19" t="e" cm="1">
        <f t="array" aca="1" ref="Y601" ca="1">INDEX(Datablad!$H$102:$BQ$113,Rekenblad!AB601,Rekenblad!AA601)</f>
        <v>#N/A</v>
      </c>
      <c r="AA601" t="e">
        <f ca="1">AF598+AF599-1</f>
        <v>#N/A</v>
      </c>
      <c r="AB601">
        <v>2</v>
      </c>
      <c r="AD601">
        <v>1</v>
      </c>
      <c r="AE601" s="15">
        <v>2</v>
      </c>
      <c r="AF601" s="15">
        <v>1</v>
      </c>
      <c r="AM601" t="s">
        <v>237</v>
      </c>
      <c r="AQ601" t="s">
        <v>73</v>
      </c>
      <c r="AR601" s="19" cm="1">
        <f t="array" aca="1" ref="AR601" ca="1">INDEX(Datablad!$H$123:$DU$134,Rekenblad!AU601,Rekenblad!AT601)</f>
        <v>0.57999999999999996</v>
      </c>
      <c r="AT601">
        <f ca="1">$AX609+$AX607</f>
        <v>7</v>
      </c>
      <c r="AU601">
        <v>2</v>
      </c>
      <c r="AW601" t="s">
        <v>248</v>
      </c>
      <c r="AX601">
        <v>0</v>
      </c>
      <c r="AY601">
        <v>1</v>
      </c>
      <c r="AZ601">
        <v>2</v>
      </c>
      <c r="BA601">
        <v>3</v>
      </c>
      <c r="BB601">
        <v>4</v>
      </c>
      <c r="BC601">
        <v>5</v>
      </c>
      <c r="BD601">
        <v>6</v>
      </c>
      <c r="BE601">
        <v>7</v>
      </c>
      <c r="BF601">
        <v>8</v>
      </c>
      <c r="BG601">
        <v>9</v>
      </c>
      <c r="BH601">
        <v>10</v>
      </c>
      <c r="BI601">
        <v>11</v>
      </c>
      <c r="BJ601">
        <v>12</v>
      </c>
      <c r="BL601">
        <v>10</v>
      </c>
      <c r="BM601">
        <v>11</v>
      </c>
      <c r="BN601">
        <v>12</v>
      </c>
    </row>
    <row r="602" spans="9:66" x14ac:dyDescent="0.3">
      <c r="I602" t="s">
        <v>376</v>
      </c>
      <c r="O602" t="s">
        <v>5</v>
      </c>
      <c r="P602" s="15">
        <v>1</v>
      </c>
      <c r="Q602" s="15"/>
      <c r="S602" s="58" t="str">
        <f ca="1">I606</f>
        <v>Z</v>
      </c>
      <c r="T602" t="s">
        <v>379</v>
      </c>
      <c r="X602" t="s">
        <v>74</v>
      </c>
      <c r="Y602" s="19" t="e" cm="1">
        <f t="array" aca="1" ref="Y602" ca="1">INDEX(Datablad!$H$102:$BQ$113,Rekenblad!AB602,Rekenblad!AA602)</f>
        <v>#N/A</v>
      </c>
      <c r="AA602" t="e">
        <f ca="1">AF598+AF599-1</f>
        <v>#N/A</v>
      </c>
      <c r="AB602">
        <v>3</v>
      </c>
      <c r="AD602">
        <v>1</v>
      </c>
      <c r="AE602" s="15">
        <v>3</v>
      </c>
      <c r="AF602" s="15">
        <v>3</v>
      </c>
      <c r="AM602" t="s">
        <v>238</v>
      </c>
      <c r="AQ602" t="s">
        <v>74</v>
      </c>
      <c r="AR602" s="19" cm="1">
        <f t="array" aca="1" ref="AR602" ca="1">INDEX(Datablad!$H$123:$DU$134,Rekenblad!AU602,Rekenblad!AT602)</f>
        <v>0.49</v>
      </c>
      <c r="AT602">
        <f ca="1">$AX609+$AX607</f>
        <v>7</v>
      </c>
      <c r="AU602">
        <v>3</v>
      </c>
      <c r="AW602" t="s">
        <v>266</v>
      </c>
      <c r="AX602">
        <f>AY602+15</f>
        <v>83</v>
      </c>
      <c r="AY602">
        <f>AZ602+15</f>
        <v>68</v>
      </c>
      <c r="AZ602">
        <f>BA602+15</f>
        <v>53</v>
      </c>
      <c r="BA602">
        <f>BB602+15</f>
        <v>38</v>
      </c>
      <c r="BB602">
        <f>BC602+15</f>
        <v>23</v>
      </c>
      <c r="BC602">
        <f>BD602+8</f>
        <v>8</v>
      </c>
      <c r="BD602">
        <v>0</v>
      </c>
      <c r="BE602">
        <f>AX602+15</f>
        <v>98</v>
      </c>
      <c r="BF602">
        <f>BE602+15</f>
        <v>113</v>
      </c>
      <c r="BG602">
        <f>BF602+15</f>
        <v>128</v>
      </c>
      <c r="BH602">
        <f>BG602+15</f>
        <v>143</v>
      </c>
      <c r="BI602">
        <f>BH602+15</f>
        <v>158</v>
      </c>
      <c r="BJ602">
        <f>BI602+15</f>
        <v>173</v>
      </c>
      <c r="BL602">
        <f>BK602+15</f>
        <v>15</v>
      </c>
      <c r="BM602">
        <f>BL602+15</f>
        <v>30</v>
      </c>
      <c r="BN602">
        <f>BM602+15</f>
        <v>45</v>
      </c>
    </row>
    <row r="603" spans="9:66" x14ac:dyDescent="0.3">
      <c r="I603" s="14">
        <f ca="1">IF('Drop-down'!$BA$8="vul in",0,'Drop-down'!$BA$8)</f>
        <v>0</v>
      </c>
      <c r="O603" t="s">
        <v>6</v>
      </c>
      <c r="P603" s="15">
        <v>1</v>
      </c>
      <c r="Q603" s="15"/>
      <c r="X603" t="s">
        <v>75</v>
      </c>
      <c r="Y603" s="19" t="e" cm="1">
        <f t="array" aca="1" ref="Y603" ca="1">INDEX(Datablad!$H$102:$BQ$113,Rekenblad!AB603,Rekenblad!AA603)</f>
        <v>#N/A</v>
      </c>
      <c r="AA603" t="e">
        <f ca="1">AF598+AF599-1</f>
        <v>#N/A</v>
      </c>
      <c r="AB603">
        <v>4</v>
      </c>
      <c r="AD603">
        <v>1</v>
      </c>
      <c r="AE603" s="15">
        <v>4</v>
      </c>
      <c r="AF603" s="15">
        <v>5</v>
      </c>
      <c r="AL603" s="58" t="str">
        <f ca="1">I606</f>
        <v>Z</v>
      </c>
      <c r="AQ603" t="s">
        <v>75</v>
      </c>
      <c r="AR603" s="19" cm="1">
        <f t="array" aca="1" ref="AR603" ca="1">INDEX(Datablad!$H$123:$DU$134,Rekenblad!AU603,Rekenblad!AT603)</f>
        <v>0.36</v>
      </c>
      <c r="AT603">
        <f ca="1">$AX609+$AX607</f>
        <v>7</v>
      </c>
      <c r="AU603">
        <v>4</v>
      </c>
      <c r="AW603" t="s">
        <v>271</v>
      </c>
    </row>
    <row r="604" spans="9:66" x14ac:dyDescent="0.3">
      <c r="I604" t="s">
        <v>378</v>
      </c>
      <c r="O604" t="s">
        <v>7</v>
      </c>
      <c r="P604" s="15">
        <v>1</v>
      </c>
      <c r="Q604" s="15"/>
      <c r="X604" t="s">
        <v>76</v>
      </c>
      <c r="Y604" s="19" t="e" cm="1">
        <f t="array" aca="1" ref="Y604" ca="1">INDEX(Datablad!$H$102:$BQ$113,Rekenblad!AB604,Rekenblad!AA604)</f>
        <v>#N/A</v>
      </c>
      <c r="AA604" t="e">
        <f ca="1">AF598+AF599-1</f>
        <v>#N/A</v>
      </c>
      <c r="AB604">
        <v>5</v>
      </c>
      <c r="AD604">
        <v>2</v>
      </c>
      <c r="AE604" s="15">
        <v>2</v>
      </c>
      <c r="AF604" s="15">
        <v>2</v>
      </c>
      <c r="AQ604" t="s">
        <v>76</v>
      </c>
      <c r="AR604" s="19" cm="1">
        <f t="array" aca="1" ref="AR604" ca="1">INDEX(Datablad!$H$123:$DU$134,Rekenblad!AU604,Rekenblad!AT604)</f>
        <v>0.34</v>
      </c>
      <c r="AT604">
        <f ca="1">$AX609+$AX607</f>
        <v>7</v>
      </c>
      <c r="AU604">
        <v>5</v>
      </c>
      <c r="AW604" t="s">
        <v>248</v>
      </c>
      <c r="AX604">
        <f>BJ601</f>
        <v>12</v>
      </c>
      <c r="AY604">
        <f>BI601</f>
        <v>11</v>
      </c>
      <c r="AZ604">
        <f>BH601</f>
        <v>10</v>
      </c>
      <c r="BA604">
        <f>BG601</f>
        <v>9</v>
      </c>
      <c r="BB604">
        <f>BF601</f>
        <v>8</v>
      </c>
      <c r="BC604">
        <f>BE601</f>
        <v>7</v>
      </c>
      <c r="BD604">
        <f t="shared" ref="BD604:BD605" si="440">AX601</f>
        <v>0</v>
      </c>
      <c r="BE604">
        <f t="shared" ref="BE604:BE605" si="441">AY601</f>
        <v>1</v>
      </c>
      <c r="BF604">
        <f t="shared" ref="BF604:BF605" si="442">AZ601</f>
        <v>2</v>
      </c>
      <c r="BG604">
        <f t="shared" ref="BG604:BG605" si="443">BA601</f>
        <v>3</v>
      </c>
      <c r="BH604">
        <f t="shared" ref="BH604:BH605" si="444">BB601</f>
        <v>4</v>
      </c>
      <c r="BI604">
        <f t="shared" ref="BI604:BI605" si="445">BC601</f>
        <v>5</v>
      </c>
      <c r="BJ604">
        <f t="shared" ref="BJ604:BJ605" si="446">BD601</f>
        <v>6</v>
      </c>
      <c r="BL604">
        <f t="shared" ref="BL604:BL605" si="447">BF601</f>
        <v>8</v>
      </c>
      <c r="BM604">
        <f t="shared" ref="BM604:BM605" si="448">BG601</f>
        <v>9</v>
      </c>
      <c r="BN604">
        <f t="shared" ref="BN604:BN605" si="449">BH601</f>
        <v>10</v>
      </c>
    </row>
    <row r="605" spans="9:66" x14ac:dyDescent="0.3">
      <c r="I605" s="58" t="str">
        <f>M573</f>
        <v>ho</v>
      </c>
      <c r="O605" t="s">
        <v>8</v>
      </c>
      <c r="P605" s="15">
        <v>1</v>
      </c>
      <c r="Q605" s="15"/>
      <c r="X605" t="s">
        <v>77</v>
      </c>
      <c r="Y605" s="19" t="e" cm="1">
        <f t="array" aca="1" ref="Y605" ca="1">INDEX(Datablad!$H$102:$BQ$113,Rekenblad!AB605,Rekenblad!AA605)</f>
        <v>#N/A</v>
      </c>
      <c r="AA605" t="e">
        <f ca="1">AF598+AF599-1</f>
        <v>#N/A</v>
      </c>
      <c r="AB605">
        <v>6</v>
      </c>
      <c r="AD605">
        <v>2</v>
      </c>
      <c r="AE605" s="15">
        <v>3</v>
      </c>
      <c r="AF605" s="15">
        <v>4</v>
      </c>
      <c r="AQ605" t="s">
        <v>77</v>
      </c>
      <c r="AR605" s="19" cm="1">
        <f t="array" aca="1" ref="AR605" ca="1">INDEX(Datablad!$H$123:$DU$134,Rekenblad!AU605,Rekenblad!AT605)</f>
        <v>0.37</v>
      </c>
      <c r="AT605">
        <f ca="1">$AX609+$AX607</f>
        <v>7</v>
      </c>
      <c r="AU605">
        <v>6</v>
      </c>
      <c r="AW605" t="s">
        <v>268</v>
      </c>
      <c r="AX605">
        <f>BJ602</f>
        <v>173</v>
      </c>
      <c r="AY605">
        <f>BI602</f>
        <v>158</v>
      </c>
      <c r="AZ605">
        <f>BH602</f>
        <v>143</v>
      </c>
      <c r="BA605">
        <f>BG602</f>
        <v>128</v>
      </c>
      <c r="BB605">
        <f>BF602</f>
        <v>113</v>
      </c>
      <c r="BC605">
        <f>BE602</f>
        <v>98</v>
      </c>
      <c r="BD605">
        <f t="shared" si="440"/>
        <v>83</v>
      </c>
      <c r="BE605">
        <f t="shared" si="441"/>
        <v>68</v>
      </c>
      <c r="BF605">
        <f t="shared" si="442"/>
        <v>53</v>
      </c>
      <c r="BG605">
        <f t="shared" si="443"/>
        <v>38</v>
      </c>
      <c r="BH605">
        <f t="shared" si="444"/>
        <v>23</v>
      </c>
      <c r="BI605">
        <f t="shared" si="445"/>
        <v>8</v>
      </c>
      <c r="BJ605">
        <f t="shared" si="446"/>
        <v>0</v>
      </c>
      <c r="BL605">
        <f t="shared" si="447"/>
        <v>113</v>
      </c>
      <c r="BM605">
        <f t="shared" si="448"/>
        <v>128</v>
      </c>
      <c r="BN605">
        <f t="shared" si="449"/>
        <v>143</v>
      </c>
    </row>
    <row r="606" spans="9:66" x14ac:dyDescent="0.3">
      <c r="I606" t="str">
        <f ca="1">IF(I603&lt;15,"Z",IF(I605="ho","Z",I605))</f>
        <v>Z</v>
      </c>
      <c r="O606" t="s">
        <v>9</v>
      </c>
      <c r="P606" s="15">
        <v>1</v>
      </c>
      <c r="Q606" s="15"/>
      <c r="X606" t="s">
        <v>78</v>
      </c>
      <c r="Y606" s="19" t="e" cm="1">
        <f t="array" aca="1" ref="Y606" ca="1">INDEX(Datablad!$H$102:$BQ$113,Rekenblad!AB606,Rekenblad!AA606)</f>
        <v>#N/A</v>
      </c>
      <c r="AA606" t="e">
        <f ca="1">AF598+AF599-1</f>
        <v>#N/A</v>
      </c>
      <c r="AB606">
        <v>7</v>
      </c>
      <c r="AD606">
        <v>2</v>
      </c>
      <c r="AE606" s="15">
        <v>4</v>
      </c>
      <c r="AF606" s="15">
        <v>6</v>
      </c>
      <c r="AQ606" t="s">
        <v>78</v>
      </c>
      <c r="AR606" s="19" cm="1">
        <f t="array" aca="1" ref="AR606" ca="1">INDEX(Datablad!$H$123:$DU$134,Rekenblad!AU606,Rekenblad!AT606)</f>
        <v>0.41</v>
      </c>
      <c r="AT606">
        <f ca="1">$AX609+$AX607</f>
        <v>7</v>
      </c>
      <c r="AU606">
        <v>7</v>
      </c>
      <c r="AW606" t="s">
        <v>174</v>
      </c>
      <c r="AX606">
        <f ca="1">AL600</f>
        <v>0</v>
      </c>
    </row>
    <row r="607" spans="9:66" x14ac:dyDescent="0.3">
      <c r="I607" t="s">
        <v>371</v>
      </c>
      <c r="O607" t="s">
        <v>10</v>
      </c>
      <c r="P607" s="15">
        <v>1</v>
      </c>
      <c r="Q607" s="15"/>
      <c r="X607" t="s">
        <v>79</v>
      </c>
      <c r="Y607" s="19" t="e" cm="1">
        <f t="array" aca="1" ref="Y607" ca="1">INDEX(Datablad!$H$102:$BQ$113,Rekenblad!AB607,Rekenblad!AA607)</f>
        <v>#N/A</v>
      </c>
      <c r="AA607" t="e">
        <f ca="1">AF598+AF599-1</f>
        <v>#N/A</v>
      </c>
      <c r="AB607">
        <v>8</v>
      </c>
      <c r="AQ607" t="s">
        <v>79</v>
      </c>
      <c r="AR607" s="19" cm="1">
        <f t="array" aca="1" ref="AR607" ca="1">INDEX(Datablad!$H$123:$DU$134,Rekenblad!AU607,Rekenblad!AT607)</f>
        <v>0.37</v>
      </c>
      <c r="AT607">
        <f ca="1">$AX609+$AX607</f>
        <v>7</v>
      </c>
      <c r="AU607">
        <v>8</v>
      </c>
      <c r="AW607" t="s">
        <v>269</v>
      </c>
      <c r="AX607">
        <f ca="1">IF(AX606&gt;=AX605,AX604,IF(AX606&gt;=AY605,AY604,IF(AX606&gt;=AZ605,AZ604,IF(AX606&gt;=BA605,BA604,IF(AX606&gt;=BB605,BB604,IF(AX606&gt;=BC605,BC604,IF(AX606&gt;=BD605,BD604,IF(AX606&gt;=BE605,BE604,IF(AX606&gt;=BF605,BF604,IF(AX606&gt;=BG605,BG604,IF(AX606&gt;=BH605,BH604,IF(AX606&gt;=BI605,BI604,IF(AX606&gt;=BJ605,BJ604)))))))))))))</f>
        <v>6</v>
      </c>
    </row>
    <row r="608" spans="9:66" x14ac:dyDescent="0.3">
      <c r="O608" t="s">
        <v>11</v>
      </c>
      <c r="P608" s="15">
        <v>1</v>
      </c>
      <c r="Q608" s="15"/>
      <c r="X608" t="s">
        <v>80</v>
      </c>
      <c r="Y608" s="19" t="e" cm="1">
        <f t="array" aca="1" ref="Y608" ca="1">INDEX(Datablad!$H$102:$BQ$113,Rekenblad!AB608,Rekenblad!AA608)</f>
        <v>#N/A</v>
      </c>
      <c r="AA608" t="e">
        <f ca="1">AF598+AF599-1</f>
        <v>#N/A</v>
      </c>
      <c r="AB608">
        <v>9</v>
      </c>
      <c r="AQ608" t="s">
        <v>80</v>
      </c>
      <c r="AR608" s="19" cm="1">
        <f t="array" aca="1" ref="AR608" ca="1">INDEX(Datablad!$H$123:$DU$134,Rekenblad!AU608,Rekenblad!AT608)</f>
        <v>0.43</v>
      </c>
      <c r="AT608">
        <f ca="1">$AX609+$AX607</f>
        <v>7</v>
      </c>
      <c r="AU608">
        <v>9</v>
      </c>
    </row>
    <row r="609" spans="9:51" x14ac:dyDescent="0.3">
      <c r="O609" t="s">
        <v>12</v>
      </c>
      <c r="P609" s="15">
        <v>1</v>
      </c>
      <c r="Q609" s="15"/>
      <c r="X609" t="s">
        <v>81</v>
      </c>
      <c r="Y609" s="19" t="e" cm="1">
        <f t="array" aca="1" ref="Y609" ca="1">INDEX(Datablad!$H$102:$BQ$113,Rekenblad!AB609,Rekenblad!AA609)</f>
        <v>#N/A</v>
      </c>
      <c r="AA609" t="e">
        <f ca="1">AF598+AF599-1</f>
        <v>#N/A</v>
      </c>
      <c r="AB609">
        <v>10</v>
      </c>
      <c r="AQ609" t="s">
        <v>81</v>
      </c>
      <c r="AR609" s="19" cm="1">
        <f t="array" aca="1" ref="AR609" ca="1">INDEX(Datablad!$H$123:$DU$134,Rekenblad!AU609,Rekenblad!AT609)</f>
        <v>0.48</v>
      </c>
      <c r="AT609">
        <f ca="1">$AX609+$AX607</f>
        <v>7</v>
      </c>
      <c r="AU609">
        <v>10</v>
      </c>
      <c r="AX609">
        <f ca="1">HLOOKUP(AL603,Datablad!$H$115:$DU$116,2,FALSE)</f>
        <v>1</v>
      </c>
      <c r="AY609" t="s">
        <v>272</v>
      </c>
    </row>
    <row r="610" spans="9:51" x14ac:dyDescent="0.3">
      <c r="O610" t="s">
        <v>13</v>
      </c>
      <c r="P610" s="15">
        <v>1</v>
      </c>
      <c r="Q610" s="15"/>
      <c r="X610" t="s">
        <v>82</v>
      </c>
      <c r="Y610" s="19" t="e" cm="1">
        <f t="array" aca="1" ref="Y610" ca="1">INDEX(Datablad!$H$102:$BQ$113,Rekenblad!AB610,Rekenblad!AA610)</f>
        <v>#N/A</v>
      </c>
      <c r="AA610" t="e">
        <f ca="1">AF598+AF599-1</f>
        <v>#N/A</v>
      </c>
      <c r="AB610">
        <v>11</v>
      </c>
      <c r="AQ610" t="s">
        <v>82</v>
      </c>
      <c r="AR610" s="19" cm="1">
        <f t="array" aca="1" ref="AR610" ca="1">INDEX(Datablad!$H$123:$DU$134,Rekenblad!AU610,Rekenblad!AT610)</f>
        <v>0.56000000000000005</v>
      </c>
      <c r="AT610">
        <f ca="1">$AX609+$AX607</f>
        <v>7</v>
      </c>
      <c r="AU610">
        <v>11</v>
      </c>
      <c r="AY610" t="s">
        <v>273</v>
      </c>
    </row>
    <row r="611" spans="9:51" x14ac:dyDescent="0.3">
      <c r="O611" t="s">
        <v>14</v>
      </c>
      <c r="P611" s="15">
        <v>1</v>
      </c>
      <c r="Q611" s="15"/>
      <c r="X611" t="s">
        <v>83</v>
      </c>
      <c r="Y611" s="19" t="e" cm="1">
        <f t="array" aca="1" ref="Y611" ca="1">INDEX(Datablad!$H$102:$BQ$113,Rekenblad!AB611,Rekenblad!AA611)</f>
        <v>#N/A</v>
      </c>
      <c r="AA611" t="e">
        <f ca="1">AF598+AF599-1</f>
        <v>#N/A</v>
      </c>
      <c r="AB611">
        <v>12</v>
      </c>
      <c r="AQ611" t="s">
        <v>83</v>
      </c>
      <c r="AR611" s="19" cm="1">
        <f t="array" aca="1" ref="AR611" ca="1">INDEX(Datablad!$H$123:$DU$134,Rekenblad!AU611,Rekenblad!AT611)</f>
        <v>0.6</v>
      </c>
      <c r="AT611">
        <f ca="1">$AX609+$AX607</f>
        <v>7</v>
      </c>
      <c r="AU611">
        <v>12</v>
      </c>
      <c r="AY611" s="15"/>
    </row>
    <row r="612" spans="9:51" x14ac:dyDescent="0.3">
      <c r="T612" s="15"/>
      <c r="U612" s="15"/>
      <c r="V612" s="15"/>
      <c r="W612" s="15"/>
      <c r="X612" s="15"/>
      <c r="Y612" s="15"/>
      <c r="Z612" s="15"/>
      <c r="AA612" s="15"/>
      <c r="AB612" s="15"/>
    </row>
    <row r="614" spans="9:51" x14ac:dyDescent="0.3">
      <c r="I614" s="1" t="s">
        <v>242</v>
      </c>
      <c r="M614" t="str">
        <f t="shared" ref="M614" si="450">P592</f>
        <v>januari</v>
      </c>
      <c r="N614" t="str">
        <f t="shared" ref="N614:N615" si="451">Q592</f>
        <v>februari</v>
      </c>
      <c r="O614" t="str">
        <f t="shared" ref="O614:O615" si="452">R592</f>
        <v>maart</v>
      </c>
      <c r="P614" t="str">
        <f t="shared" ref="P614:P615" si="453">S592</f>
        <v>april</v>
      </c>
      <c r="Q614" t="str">
        <f t="shared" ref="Q614:Q615" si="454">T592</f>
        <v>mei</v>
      </c>
      <c r="R614" t="str">
        <f t="shared" ref="R614:R615" si="455">U592</f>
        <v>juni</v>
      </c>
      <c r="S614" t="str">
        <f t="shared" ref="S614:S615" si="456">V592</f>
        <v>juli</v>
      </c>
      <c r="T614" t="str">
        <f t="shared" ref="T614:T615" si="457">W592</f>
        <v>augustus</v>
      </c>
      <c r="U614" t="str">
        <f t="shared" ref="U614:U615" si="458">X592</f>
        <v>september</v>
      </c>
      <c r="V614" t="str">
        <f t="shared" ref="V614:V615" si="459">Y592</f>
        <v>oktober</v>
      </c>
      <c r="W614" t="str">
        <f t="shared" ref="W614:W615" si="460">Z592</f>
        <v>november</v>
      </c>
      <c r="X614" t="str">
        <f t="shared" ref="X614:X615" si="461">AA592</f>
        <v>december</v>
      </c>
    </row>
    <row r="615" spans="9:51" x14ac:dyDescent="0.3">
      <c r="I615" s="1"/>
      <c r="L615" t="s">
        <v>114</v>
      </c>
      <c r="M615">
        <f ca="1">P593</f>
        <v>0.55000000000000004</v>
      </c>
      <c r="N615">
        <f t="shared" ca="1" si="451"/>
        <v>0.57999999999999996</v>
      </c>
      <c r="O615">
        <f t="shared" ca="1" si="452"/>
        <v>0.49</v>
      </c>
      <c r="P615">
        <f t="shared" ca="1" si="453"/>
        <v>0.36</v>
      </c>
      <c r="Q615">
        <f t="shared" ca="1" si="454"/>
        <v>0.34</v>
      </c>
      <c r="R615">
        <f t="shared" ca="1" si="455"/>
        <v>0.37</v>
      </c>
      <c r="S615">
        <f t="shared" ca="1" si="456"/>
        <v>0.41</v>
      </c>
      <c r="T615">
        <f t="shared" ca="1" si="457"/>
        <v>0.37</v>
      </c>
      <c r="U615">
        <f t="shared" ca="1" si="458"/>
        <v>0.43</v>
      </c>
      <c r="V615">
        <f t="shared" ca="1" si="459"/>
        <v>0.48</v>
      </c>
      <c r="W615">
        <f t="shared" ca="1" si="460"/>
        <v>0.56000000000000005</v>
      </c>
      <c r="X615">
        <f t="shared" ca="1" si="461"/>
        <v>0.6</v>
      </c>
    </row>
    <row r="616" spans="9:51" x14ac:dyDescent="0.3">
      <c r="I616" s="1" t="s">
        <v>244</v>
      </c>
    </row>
    <row r="617" spans="9:51" x14ac:dyDescent="0.3">
      <c r="I617" s="4" t="s">
        <v>114</v>
      </c>
      <c r="J617" s="4" t="s">
        <v>243</v>
      </c>
      <c r="L617" t="s">
        <v>109</v>
      </c>
      <c r="M617" s="18">
        <f ca="1">IF(M615&lt;=0.8,$J$107,(VLOOKUP(M615,$I$87:$J$107,2,FALSE)))</f>
        <v>0.75</v>
      </c>
      <c r="N617" s="18">
        <f t="shared" ref="N617:X617" ca="1" si="462">IF(N615&lt;=0.8,$J$107,(VLOOKUP(N615,$I$87:$J$107,2,FALSE)))</f>
        <v>0.75</v>
      </c>
      <c r="O617" s="18">
        <f t="shared" ca="1" si="462"/>
        <v>0.75</v>
      </c>
      <c r="P617" s="18">
        <f t="shared" ca="1" si="462"/>
        <v>0.75</v>
      </c>
      <c r="Q617" s="18">
        <f t="shared" ca="1" si="462"/>
        <v>0.75</v>
      </c>
      <c r="R617" s="18">
        <f t="shared" ca="1" si="462"/>
        <v>0.75</v>
      </c>
      <c r="S617" s="18">
        <f t="shared" ca="1" si="462"/>
        <v>0.75</v>
      </c>
      <c r="T617" s="18">
        <f t="shared" ca="1" si="462"/>
        <v>0.75</v>
      </c>
      <c r="U617" s="18">
        <f t="shared" ca="1" si="462"/>
        <v>0.75</v>
      </c>
      <c r="V617" s="18">
        <f t="shared" ca="1" si="462"/>
        <v>0.75</v>
      </c>
      <c r="W617" s="18">
        <f t="shared" ca="1" si="462"/>
        <v>0.75</v>
      </c>
      <c r="X617" s="18">
        <f t="shared" ca="1" si="462"/>
        <v>0.75</v>
      </c>
    </row>
    <row r="618" spans="9:51" x14ac:dyDescent="0.3">
      <c r="I618" s="4">
        <v>1</v>
      </c>
      <c r="J618" s="4">
        <v>1</v>
      </c>
    </row>
    <row r="619" spans="9:51" x14ac:dyDescent="0.3">
      <c r="I619" s="4">
        <v>0.99</v>
      </c>
      <c r="J619" s="4">
        <v>0.99</v>
      </c>
    </row>
    <row r="620" spans="9:51" x14ac:dyDescent="0.3">
      <c r="I620" s="4">
        <v>0.98</v>
      </c>
      <c r="J620" s="4">
        <v>0.98</v>
      </c>
    </row>
    <row r="621" spans="9:51" x14ac:dyDescent="0.3">
      <c r="I621" s="4">
        <v>0.97</v>
      </c>
      <c r="J621" s="4">
        <v>0.97</v>
      </c>
    </row>
    <row r="622" spans="9:51" x14ac:dyDescent="0.3">
      <c r="I622" s="4">
        <v>0.96</v>
      </c>
      <c r="J622" s="4">
        <v>0.96</v>
      </c>
    </row>
    <row r="623" spans="9:51" x14ac:dyDescent="0.3">
      <c r="I623" s="4">
        <v>0.95</v>
      </c>
      <c r="J623" s="4">
        <v>0.95</v>
      </c>
    </row>
    <row r="624" spans="9:51" x14ac:dyDescent="0.3">
      <c r="I624" s="4">
        <v>0.94</v>
      </c>
      <c r="J624" s="4">
        <f>0.89+4/5*0.06</f>
        <v>0.93800000000000006</v>
      </c>
    </row>
    <row r="625" spans="6:10" x14ac:dyDescent="0.3">
      <c r="I625" s="4">
        <v>0.93</v>
      </c>
      <c r="J625" s="4">
        <f>0.89+3/5*0.06</f>
        <v>0.92600000000000005</v>
      </c>
    </row>
    <row r="626" spans="6:10" x14ac:dyDescent="0.3">
      <c r="F626" s="15"/>
      <c r="G626" s="15"/>
      <c r="I626" s="4">
        <v>0.92</v>
      </c>
      <c r="J626" s="4">
        <f>0.89+2/5*0.06</f>
        <v>0.91400000000000003</v>
      </c>
    </row>
    <row r="627" spans="6:10" x14ac:dyDescent="0.3">
      <c r="I627" s="4">
        <v>0.91</v>
      </c>
      <c r="J627" s="4">
        <f>0.89+1/5*0.06</f>
        <v>0.90200000000000002</v>
      </c>
    </row>
    <row r="628" spans="6:10" x14ac:dyDescent="0.3">
      <c r="I628" s="4">
        <v>0.9</v>
      </c>
      <c r="J628" s="4">
        <v>0.89</v>
      </c>
    </row>
    <row r="629" spans="6:10" x14ac:dyDescent="0.3">
      <c r="I629" s="4">
        <v>0.89</v>
      </c>
      <c r="J629" s="4">
        <f>0.82+4/5*0.07</f>
        <v>0.876</v>
      </c>
    </row>
    <row r="630" spans="6:10" x14ac:dyDescent="0.3">
      <c r="I630" s="4">
        <v>0.88</v>
      </c>
      <c r="J630" s="4">
        <f>0.82+3/5*0.07</f>
        <v>0.86199999999999999</v>
      </c>
    </row>
    <row r="631" spans="6:10" x14ac:dyDescent="0.3">
      <c r="I631" s="4">
        <v>0.87</v>
      </c>
      <c r="J631" s="4">
        <f>0.82+2/5*0.07</f>
        <v>0.84799999999999998</v>
      </c>
    </row>
    <row r="632" spans="6:10" x14ac:dyDescent="0.3">
      <c r="I632" s="4">
        <v>0.86</v>
      </c>
      <c r="J632" s="4">
        <f>0.82+1/5*0.07</f>
        <v>0.83399999999999996</v>
      </c>
    </row>
    <row r="633" spans="6:10" x14ac:dyDescent="0.3">
      <c r="I633" s="4">
        <v>0.85</v>
      </c>
      <c r="J633" s="4">
        <v>0.82</v>
      </c>
    </row>
    <row r="634" spans="6:10" x14ac:dyDescent="0.3">
      <c r="I634" s="4">
        <v>0.84</v>
      </c>
      <c r="J634" s="4">
        <f>0.75+4/5*0.07</f>
        <v>0.80600000000000005</v>
      </c>
    </row>
    <row r="635" spans="6:10" x14ac:dyDescent="0.3">
      <c r="I635" s="4">
        <v>0.83</v>
      </c>
      <c r="J635" s="4">
        <f>0.75+3/5*0.07</f>
        <v>0.79200000000000004</v>
      </c>
    </row>
    <row r="636" spans="6:10" x14ac:dyDescent="0.3">
      <c r="I636" s="4">
        <v>0.82</v>
      </c>
      <c r="J636" s="4">
        <f>0.75+2/5*0.07</f>
        <v>0.77800000000000002</v>
      </c>
    </row>
    <row r="637" spans="6:10" x14ac:dyDescent="0.3">
      <c r="I637" s="4">
        <v>0.81</v>
      </c>
      <c r="J637" s="4">
        <f>0.75+1/5*0.07</f>
        <v>0.76400000000000001</v>
      </c>
    </row>
    <row r="638" spans="6:10" x14ac:dyDescent="0.3">
      <c r="I638" s="4">
        <v>0.8</v>
      </c>
      <c r="J638" s="4">
        <v>0.75</v>
      </c>
    </row>
  </sheetData>
  <phoneticPr fontId="3" type="noConversion"/>
  <pageMargins left="0.7" right="0.7" top="0.75" bottom="0.75" header="0.3" footer="0.3"/>
  <pageSetup paperSize="9" orientation="portrait" r:id="rId1"/>
  <headerFooter>
    <oddFooter>&amp;L_x000D_&amp;1#&amp;"Calibri"&amp;10&amp;K000000 Intern gebruik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19A0-8228-4F76-A2FF-1C866E81C1D5}">
  <sheetPr>
    <tabColor theme="0" tint="-0.249977111117893"/>
  </sheetPr>
  <dimension ref="B4:DU156"/>
  <sheetViews>
    <sheetView topLeftCell="A68" zoomScale="70" zoomScaleNormal="70" workbookViewId="0">
      <selection activeCell="I32" sqref="I32"/>
    </sheetView>
  </sheetViews>
  <sheetFormatPr defaultRowHeight="14.4" x14ac:dyDescent="0.3"/>
  <cols>
    <col min="2" max="2" width="20.88671875" customWidth="1"/>
    <col min="3" max="3" width="25.109375" customWidth="1"/>
    <col min="4" max="4" width="58.44140625" customWidth="1"/>
    <col min="7" max="7" width="78.88671875" customWidth="1"/>
  </cols>
  <sheetData>
    <row r="4" spans="2:7" x14ac:dyDescent="0.3">
      <c r="C4" t="s">
        <v>1</v>
      </c>
    </row>
    <row r="6" spans="2:7" x14ac:dyDescent="0.3">
      <c r="B6" s="3" t="s">
        <v>45</v>
      </c>
      <c r="E6" t="s">
        <v>17</v>
      </c>
    </row>
    <row r="7" spans="2:7" x14ac:dyDescent="0.3">
      <c r="D7" s="1" t="s">
        <v>16</v>
      </c>
      <c r="E7" t="s">
        <v>18</v>
      </c>
    </row>
    <row r="8" spans="2:7" x14ac:dyDescent="0.3">
      <c r="C8" s="4" t="s">
        <v>19</v>
      </c>
      <c r="D8" s="4" t="s">
        <v>20</v>
      </c>
      <c r="E8" s="4">
        <v>125</v>
      </c>
      <c r="G8" t="str">
        <f>CONCATENATE(D8," (", E8, "Wp/m2)")</f>
        <v>Monokristallijna silicium geplaatst voor 2001 (125Wp/m2)</v>
      </c>
    </row>
    <row r="9" spans="2:7" x14ac:dyDescent="0.3">
      <c r="C9" s="4"/>
      <c r="D9" s="4" t="s">
        <v>21</v>
      </c>
      <c r="E9" s="4">
        <v>135</v>
      </c>
      <c r="G9" t="str">
        <f t="shared" ref="G9:G21" si="0">CONCATENATE(D9," (", E9, "Wp/m2)")</f>
        <v>Monokristallijna silicium geplaatst in 2001 t/m 2010 (135Wp/m2)</v>
      </c>
    </row>
    <row r="10" spans="2:7" x14ac:dyDescent="0.3">
      <c r="C10" s="4"/>
      <c r="D10" s="4" t="s">
        <v>22</v>
      </c>
      <c r="E10" s="4">
        <v>150</v>
      </c>
      <c r="G10" t="str">
        <f t="shared" si="0"/>
        <v>Monokristallijna silicium geplaatst in 2011 t/m 2014 (150Wp/m2)</v>
      </c>
    </row>
    <row r="11" spans="2:7" x14ac:dyDescent="0.3">
      <c r="C11" s="4"/>
      <c r="D11" s="4" t="s">
        <v>23</v>
      </c>
      <c r="E11" s="4">
        <v>165</v>
      </c>
      <c r="G11" t="str">
        <f t="shared" si="0"/>
        <v>Monokristallijna silicium geplaatst in 2015 t/m 2017 (165Wp/m2)</v>
      </c>
    </row>
    <row r="12" spans="2:7" x14ac:dyDescent="0.3">
      <c r="C12" s="4"/>
      <c r="D12" s="4" t="s">
        <v>24</v>
      </c>
      <c r="E12" s="4">
        <v>175</v>
      </c>
      <c r="G12" t="str">
        <f t="shared" si="0"/>
        <v>Monokristallijna silicium geplaatst vanaf 2018 (175Wp/m2)</v>
      </c>
    </row>
    <row r="13" spans="2:7" x14ac:dyDescent="0.3">
      <c r="C13" s="4"/>
      <c r="D13" s="4" t="s">
        <v>25</v>
      </c>
      <c r="E13" s="4">
        <v>115</v>
      </c>
      <c r="G13" t="str">
        <f t="shared" si="0"/>
        <v>Multikristallijna silicium geplaatst voor 2001 (115Wp/m2)</v>
      </c>
    </row>
    <row r="14" spans="2:7" x14ac:dyDescent="0.3">
      <c r="C14" s="4"/>
      <c r="D14" s="4" t="s">
        <v>26</v>
      </c>
      <c r="E14" s="4">
        <v>125</v>
      </c>
      <c r="G14" t="str">
        <f t="shared" si="0"/>
        <v>Multikristallijna silicium geplaatst in 2001 t/m 2010 (125Wp/m2)</v>
      </c>
    </row>
    <row r="15" spans="2:7" x14ac:dyDescent="0.3">
      <c r="C15" s="4"/>
      <c r="D15" s="4" t="s">
        <v>27</v>
      </c>
      <c r="E15" s="4">
        <v>140</v>
      </c>
      <c r="G15" t="str">
        <f t="shared" si="0"/>
        <v>Multikristallijna silicium geplaatst in 2011 t/m 2014 (140Wp/m2)</v>
      </c>
    </row>
    <row r="16" spans="2:7" x14ac:dyDescent="0.3">
      <c r="C16" s="4"/>
      <c r="D16" s="4" t="s">
        <v>28</v>
      </c>
      <c r="E16" s="4">
        <v>155</v>
      </c>
      <c r="G16" t="str">
        <f t="shared" si="0"/>
        <v>Multikristallijna silicium geplaatst in 2015 t/m 2017 (155Wp/m2)</v>
      </c>
    </row>
    <row r="17" spans="2:7" x14ac:dyDescent="0.3">
      <c r="C17" s="4"/>
      <c r="D17" s="4" t="s">
        <v>29</v>
      </c>
      <c r="E17" s="4">
        <v>165</v>
      </c>
      <c r="G17" t="str">
        <f t="shared" si="0"/>
        <v>Multikristallijna silicium geplaatst vanaf 2018 (165Wp/m2)</v>
      </c>
    </row>
    <row r="18" spans="2:7" x14ac:dyDescent="0.3">
      <c r="C18" s="4" t="s">
        <v>30</v>
      </c>
      <c r="D18" s="4" t="s">
        <v>31</v>
      </c>
      <c r="E18" s="4">
        <v>65</v>
      </c>
      <c r="G18" t="str">
        <f t="shared" si="0"/>
        <v>Amorf silicium zonnecel met enkelvoudige junctie  (65Wp/m2)</v>
      </c>
    </row>
    <row r="19" spans="2:7" x14ac:dyDescent="0.3">
      <c r="C19" s="4"/>
      <c r="D19" s="4" t="s">
        <v>32</v>
      </c>
      <c r="E19" s="4">
        <v>55</v>
      </c>
      <c r="G19" t="str">
        <f t="shared" si="0"/>
        <v>Multi-junctie op amorf silicium gebaseerde zonnecellen  (55Wp/m2)</v>
      </c>
    </row>
    <row r="20" spans="2:7" x14ac:dyDescent="0.3">
      <c r="C20" s="4"/>
      <c r="D20" s="4" t="s">
        <v>33</v>
      </c>
      <c r="E20" s="4">
        <v>105</v>
      </c>
      <c r="G20" t="str">
        <f t="shared" si="0"/>
        <v>Koper-indium/gallium-diselenide (105Wp/m2)</v>
      </c>
    </row>
    <row r="21" spans="2:7" x14ac:dyDescent="0.3">
      <c r="C21" s="4"/>
      <c r="D21" s="4" t="s">
        <v>34</v>
      </c>
      <c r="E21" s="4">
        <v>95</v>
      </c>
      <c r="G21" t="str">
        <f t="shared" si="0"/>
        <v>Cadmiumtelluride (95Wp/m2)</v>
      </c>
    </row>
    <row r="24" spans="2:7" x14ac:dyDescent="0.3">
      <c r="B24" s="3" t="s">
        <v>53</v>
      </c>
      <c r="D24" s="1" t="s">
        <v>35</v>
      </c>
    </row>
    <row r="25" spans="2:7" x14ac:dyDescent="0.3">
      <c r="D25" s="4" t="s">
        <v>36</v>
      </c>
      <c r="E25" s="4" t="s">
        <v>37</v>
      </c>
    </row>
    <row r="26" spans="2:7" x14ac:dyDescent="0.3">
      <c r="C26">
        <v>1</v>
      </c>
      <c r="D26" s="5" t="s">
        <v>146</v>
      </c>
      <c r="E26" s="4">
        <v>0.76</v>
      </c>
      <c r="G26" t="s">
        <v>41</v>
      </c>
    </row>
    <row r="27" spans="2:7" ht="28.8" x14ac:dyDescent="0.3">
      <c r="C27">
        <v>2</v>
      </c>
      <c r="D27" s="5" t="s">
        <v>46</v>
      </c>
      <c r="E27" s="4">
        <v>0.76</v>
      </c>
      <c r="G27" t="s">
        <v>38</v>
      </c>
    </row>
    <row r="28" spans="2:7" ht="28.8" x14ac:dyDescent="0.3">
      <c r="C28">
        <v>3</v>
      </c>
      <c r="D28" s="5" t="s">
        <v>47</v>
      </c>
      <c r="E28" s="4">
        <v>0.8</v>
      </c>
      <c r="G28" t="s">
        <v>39</v>
      </c>
    </row>
    <row r="29" spans="2:7" ht="43.2" x14ac:dyDescent="0.3">
      <c r="C29">
        <v>4</v>
      </c>
      <c r="D29" s="5" t="s">
        <v>48</v>
      </c>
      <c r="E29" s="4">
        <v>0.82</v>
      </c>
      <c r="G29" t="s">
        <v>40</v>
      </c>
    </row>
    <row r="30" spans="2:7" x14ac:dyDescent="0.3">
      <c r="G30" t="s">
        <v>69</v>
      </c>
    </row>
    <row r="33" spans="2:6" x14ac:dyDescent="0.3">
      <c r="B33" s="3" t="s">
        <v>58</v>
      </c>
      <c r="D33" t="s">
        <v>42</v>
      </c>
      <c r="E33">
        <v>1</v>
      </c>
      <c r="F33" t="s">
        <v>43</v>
      </c>
    </row>
    <row r="36" spans="2:6" x14ac:dyDescent="0.3">
      <c r="B36" s="3" t="s">
        <v>52</v>
      </c>
      <c r="D36" s="1" t="s">
        <v>44</v>
      </c>
    </row>
    <row r="37" spans="2:6" x14ac:dyDescent="0.3">
      <c r="D37" s="4" t="s">
        <v>50</v>
      </c>
      <c r="E37" s="4" t="s">
        <v>49</v>
      </c>
    </row>
    <row r="38" spans="2:6" x14ac:dyDescent="0.3">
      <c r="D38" s="6">
        <v>1</v>
      </c>
      <c r="E38" s="6">
        <v>1</v>
      </c>
    </row>
    <row r="39" spans="2:6" x14ac:dyDescent="0.3">
      <c r="D39" s="6">
        <v>0.95</v>
      </c>
      <c r="E39" s="6">
        <v>0.95</v>
      </c>
    </row>
    <row r="40" spans="2:6" x14ac:dyDescent="0.3">
      <c r="D40" s="6">
        <v>0.9</v>
      </c>
      <c r="E40" s="6">
        <v>0.89</v>
      </c>
    </row>
    <row r="41" spans="2:6" x14ac:dyDescent="0.3">
      <c r="D41" s="6">
        <v>0.85</v>
      </c>
      <c r="E41" s="6">
        <v>0.82</v>
      </c>
    </row>
    <row r="42" spans="2:6" x14ac:dyDescent="0.3">
      <c r="D42" s="7" t="s">
        <v>51</v>
      </c>
      <c r="E42" s="6">
        <v>0.75</v>
      </c>
    </row>
    <row r="47" spans="2:6" x14ac:dyDescent="0.3">
      <c r="B47" s="3" t="s">
        <v>54</v>
      </c>
      <c r="D47" s="4" t="s">
        <v>70</v>
      </c>
      <c r="E47" s="4">
        <v>0.95</v>
      </c>
    </row>
    <row r="52" spans="2:8" x14ac:dyDescent="0.3">
      <c r="B52" s="3" t="s">
        <v>86</v>
      </c>
      <c r="D52" s="4" t="s">
        <v>85</v>
      </c>
      <c r="E52" s="4" t="s">
        <v>84</v>
      </c>
      <c r="F52" s="4"/>
      <c r="G52" s="4"/>
      <c r="H52" s="4"/>
    </row>
    <row r="53" spans="2:8" x14ac:dyDescent="0.3">
      <c r="D53" s="4" t="s">
        <v>71</v>
      </c>
      <c r="E53" s="4">
        <v>744</v>
      </c>
      <c r="F53" s="6">
        <v>2.61</v>
      </c>
      <c r="G53" s="6" t="s">
        <v>72</v>
      </c>
      <c r="H53" s="6">
        <v>3.04</v>
      </c>
    </row>
    <row r="54" spans="2:8" x14ac:dyDescent="0.3">
      <c r="D54" s="4" t="s">
        <v>73</v>
      </c>
      <c r="E54" s="4">
        <v>672</v>
      </c>
      <c r="F54" s="6">
        <v>4.82</v>
      </c>
      <c r="G54" s="6">
        <v>13.97</v>
      </c>
      <c r="H54" s="6">
        <v>4.1500000000000004</v>
      </c>
    </row>
    <row r="55" spans="2:8" x14ac:dyDescent="0.3">
      <c r="D55" s="4" t="s">
        <v>74</v>
      </c>
      <c r="E55" s="4">
        <v>744</v>
      </c>
      <c r="F55" s="6">
        <v>5.91</v>
      </c>
      <c r="G55" s="6">
        <v>13</v>
      </c>
      <c r="H55" s="6">
        <v>2.99</v>
      </c>
    </row>
    <row r="56" spans="2:8" x14ac:dyDescent="0.3">
      <c r="D56" s="4" t="s">
        <v>75</v>
      </c>
      <c r="E56" s="4">
        <v>720</v>
      </c>
      <c r="F56" s="6">
        <v>9.32</v>
      </c>
      <c r="G56" s="6">
        <v>13.7</v>
      </c>
      <c r="H56" s="6">
        <v>3.06</v>
      </c>
    </row>
    <row r="57" spans="2:8" x14ac:dyDescent="0.3">
      <c r="D57" s="4" t="s">
        <v>76</v>
      </c>
      <c r="E57" s="4">
        <v>744</v>
      </c>
      <c r="F57" s="6">
        <v>14.73</v>
      </c>
      <c r="G57" s="6">
        <v>16.420000000000002</v>
      </c>
      <c r="H57" s="6">
        <v>2.97</v>
      </c>
    </row>
    <row r="58" spans="2:8" x14ac:dyDescent="0.3">
      <c r="D58" s="4" t="s">
        <v>77</v>
      </c>
      <c r="E58" s="4">
        <v>720</v>
      </c>
      <c r="F58" s="6">
        <v>16.12</v>
      </c>
      <c r="G58" s="6">
        <v>16.760000000000002</v>
      </c>
      <c r="H58" s="6">
        <v>2.78</v>
      </c>
    </row>
    <row r="59" spans="2:8" x14ac:dyDescent="0.3">
      <c r="D59" s="4" t="s">
        <v>78</v>
      </c>
      <c r="E59" s="4">
        <v>744</v>
      </c>
      <c r="F59" s="6">
        <v>18.05</v>
      </c>
      <c r="G59" s="6">
        <v>17.510000000000002</v>
      </c>
      <c r="H59" s="6">
        <v>2.63</v>
      </c>
    </row>
    <row r="60" spans="2:8" x14ac:dyDescent="0.3">
      <c r="D60" s="4" t="s">
        <v>79</v>
      </c>
      <c r="E60" s="4">
        <v>744</v>
      </c>
      <c r="F60" s="6">
        <v>18.48</v>
      </c>
      <c r="G60" s="6">
        <v>18.239999999999998</v>
      </c>
      <c r="H60" s="6">
        <v>2.5099999999999998</v>
      </c>
    </row>
    <row r="61" spans="2:8" x14ac:dyDescent="0.3">
      <c r="D61" s="4" t="s">
        <v>80</v>
      </c>
      <c r="E61" s="4">
        <v>720</v>
      </c>
      <c r="F61" s="6">
        <v>15.63</v>
      </c>
      <c r="G61" s="6">
        <v>16.739999999999998</v>
      </c>
      <c r="H61" s="6">
        <v>2.71</v>
      </c>
    </row>
    <row r="62" spans="2:8" x14ac:dyDescent="0.3">
      <c r="D62" s="4" t="s">
        <v>81</v>
      </c>
      <c r="E62" s="4">
        <v>744</v>
      </c>
      <c r="F62" s="6">
        <v>10.4</v>
      </c>
      <c r="G62" s="6">
        <v>15.04</v>
      </c>
      <c r="H62" s="6">
        <v>2.78</v>
      </c>
    </row>
    <row r="63" spans="2:8" x14ac:dyDescent="0.3">
      <c r="D63" s="4" t="s">
        <v>82</v>
      </c>
      <c r="E63" s="4">
        <v>720</v>
      </c>
      <c r="F63" s="6">
        <v>7.99</v>
      </c>
      <c r="G63" s="6">
        <v>13.43</v>
      </c>
      <c r="H63" s="6">
        <v>2.83</v>
      </c>
    </row>
    <row r="64" spans="2:8" x14ac:dyDescent="0.3">
      <c r="D64" s="4" t="s">
        <v>83</v>
      </c>
      <c r="E64" s="4">
        <v>744</v>
      </c>
      <c r="F64" s="6">
        <v>4</v>
      </c>
      <c r="G64" s="6" t="s">
        <v>72</v>
      </c>
      <c r="H64" s="6">
        <v>2.83</v>
      </c>
    </row>
    <row r="65" spans="2:66" x14ac:dyDescent="0.3">
      <c r="E65" s="1">
        <f>SUM(E53:E64)</f>
        <v>8760</v>
      </c>
    </row>
    <row r="67" spans="2:66" x14ac:dyDescent="0.3">
      <c r="B67" s="3" t="s">
        <v>138</v>
      </c>
      <c r="D67" t="s">
        <v>120</v>
      </c>
    </row>
    <row r="69" spans="2:66" x14ac:dyDescent="0.3">
      <c r="D69" t="s">
        <v>121</v>
      </c>
      <c r="E69">
        <v>0</v>
      </c>
      <c r="N69">
        <v>30</v>
      </c>
      <c r="W69">
        <v>45</v>
      </c>
      <c r="AF69">
        <v>60</v>
      </c>
      <c r="AO69">
        <v>90</v>
      </c>
      <c r="AX69">
        <v>135</v>
      </c>
      <c r="BG69">
        <v>180</v>
      </c>
    </row>
    <row r="70" spans="2:66" x14ac:dyDescent="0.3">
      <c r="D70" t="s">
        <v>87</v>
      </c>
      <c r="E70" s="4" t="s">
        <v>122</v>
      </c>
      <c r="F70" s="4" t="s">
        <v>123</v>
      </c>
      <c r="G70" s="4" t="s">
        <v>124</v>
      </c>
      <c r="H70" s="4" t="s">
        <v>125</v>
      </c>
      <c r="I70" s="4" t="s">
        <v>126</v>
      </c>
      <c r="J70" s="4" t="s">
        <v>127</v>
      </c>
      <c r="K70" s="4" t="s">
        <v>128</v>
      </c>
      <c r="L70" s="4" t="s">
        <v>129</v>
      </c>
      <c r="N70" s="4" t="s">
        <v>122</v>
      </c>
      <c r="O70" s="4" t="s">
        <v>123</v>
      </c>
      <c r="P70" s="4" t="s">
        <v>124</v>
      </c>
      <c r="Q70" s="4" t="s">
        <v>125</v>
      </c>
      <c r="R70" s="4" t="s">
        <v>126</v>
      </c>
      <c r="S70" s="4" t="s">
        <v>127</v>
      </c>
      <c r="T70" s="4" t="s">
        <v>128</v>
      </c>
      <c r="U70" s="4" t="s">
        <v>129</v>
      </c>
      <c r="W70" s="4" t="s">
        <v>122</v>
      </c>
      <c r="X70" s="4" t="s">
        <v>123</v>
      </c>
      <c r="Y70" s="4" t="s">
        <v>124</v>
      </c>
      <c r="Z70" s="4" t="s">
        <v>125</v>
      </c>
      <c r="AA70" s="4" t="s">
        <v>126</v>
      </c>
      <c r="AB70" s="4" t="s">
        <v>127</v>
      </c>
      <c r="AC70" s="4" t="s">
        <v>128</v>
      </c>
      <c r="AD70" s="4" t="s">
        <v>129</v>
      </c>
      <c r="AF70" s="4" t="s">
        <v>122</v>
      </c>
      <c r="AG70" s="4" t="s">
        <v>123</v>
      </c>
      <c r="AH70" s="4" t="s">
        <v>124</v>
      </c>
      <c r="AI70" s="4" t="s">
        <v>125</v>
      </c>
      <c r="AJ70" s="4" t="s">
        <v>126</v>
      </c>
      <c r="AK70" s="4" t="s">
        <v>127</v>
      </c>
      <c r="AL70" s="4" t="s">
        <v>128</v>
      </c>
      <c r="AM70" s="4" t="s">
        <v>129</v>
      </c>
      <c r="AO70" s="4" t="s">
        <v>122</v>
      </c>
      <c r="AP70" s="4" t="s">
        <v>123</v>
      </c>
      <c r="AQ70" s="4" t="s">
        <v>124</v>
      </c>
      <c r="AR70" s="4" t="s">
        <v>125</v>
      </c>
      <c r="AS70" s="4" t="s">
        <v>126</v>
      </c>
      <c r="AT70" s="4" t="s">
        <v>127</v>
      </c>
      <c r="AU70" s="4" t="s">
        <v>128</v>
      </c>
      <c r="AV70" s="4" t="s">
        <v>129</v>
      </c>
      <c r="AX70" s="4" t="s">
        <v>122</v>
      </c>
      <c r="AY70" s="4" t="s">
        <v>123</v>
      </c>
      <c r="AZ70" s="4" t="s">
        <v>124</v>
      </c>
      <c r="BA70" s="4" t="s">
        <v>125</v>
      </c>
      <c r="BB70" s="4" t="s">
        <v>126</v>
      </c>
      <c r="BC70" s="4" t="s">
        <v>127</v>
      </c>
      <c r="BD70" s="4" t="s">
        <v>128</v>
      </c>
      <c r="BE70" s="4" t="s">
        <v>129</v>
      </c>
      <c r="BG70" s="4" t="s">
        <v>122</v>
      </c>
      <c r="BH70" s="4" t="s">
        <v>123</v>
      </c>
      <c r="BI70" s="4" t="s">
        <v>124</v>
      </c>
      <c r="BJ70" s="4" t="s">
        <v>125</v>
      </c>
      <c r="BK70" s="4" t="s">
        <v>126</v>
      </c>
      <c r="BL70" s="4" t="s">
        <v>127</v>
      </c>
      <c r="BM70" s="4" t="s">
        <v>128</v>
      </c>
      <c r="BN70" s="4" t="s">
        <v>129</v>
      </c>
    </row>
    <row r="71" spans="2:66" x14ac:dyDescent="0.3">
      <c r="E71" s="4" t="s">
        <v>130</v>
      </c>
      <c r="F71" s="4" t="s">
        <v>131</v>
      </c>
      <c r="G71" s="4" t="s">
        <v>132</v>
      </c>
      <c r="H71" s="4" t="s">
        <v>133</v>
      </c>
      <c r="I71" s="4" t="s">
        <v>134</v>
      </c>
      <c r="J71" s="4" t="s">
        <v>135</v>
      </c>
      <c r="K71" s="4" t="s">
        <v>136</v>
      </c>
      <c r="L71" s="4" t="s">
        <v>137</v>
      </c>
      <c r="N71" s="4" t="s">
        <v>130</v>
      </c>
      <c r="O71" s="4" t="s">
        <v>131</v>
      </c>
      <c r="P71" s="4" t="s">
        <v>132</v>
      </c>
      <c r="Q71" s="4" t="s">
        <v>133</v>
      </c>
      <c r="R71" s="4" t="s">
        <v>134</v>
      </c>
      <c r="S71" s="4" t="s">
        <v>135</v>
      </c>
      <c r="T71" s="4" t="s">
        <v>136</v>
      </c>
      <c r="U71" s="4" t="s">
        <v>137</v>
      </c>
      <c r="W71" s="4" t="s">
        <v>130</v>
      </c>
      <c r="X71" s="4" t="s">
        <v>131</v>
      </c>
      <c r="Y71" s="4" t="s">
        <v>132</v>
      </c>
      <c r="Z71" s="4" t="s">
        <v>133</v>
      </c>
      <c r="AA71" s="4" t="s">
        <v>134</v>
      </c>
      <c r="AB71" s="4" t="s">
        <v>135</v>
      </c>
      <c r="AC71" s="4" t="s">
        <v>136</v>
      </c>
      <c r="AD71" s="4" t="s">
        <v>137</v>
      </c>
      <c r="AF71" s="4" t="s">
        <v>130</v>
      </c>
      <c r="AG71" s="4" t="s">
        <v>131</v>
      </c>
      <c r="AH71" s="4" t="s">
        <v>132</v>
      </c>
      <c r="AI71" s="4" t="s">
        <v>133</v>
      </c>
      <c r="AJ71" s="4" t="s">
        <v>134</v>
      </c>
      <c r="AK71" s="4" t="s">
        <v>135</v>
      </c>
      <c r="AL71" s="4" t="s">
        <v>136</v>
      </c>
      <c r="AM71" s="4" t="s">
        <v>137</v>
      </c>
      <c r="AO71" s="4" t="s">
        <v>130</v>
      </c>
      <c r="AP71" s="4" t="s">
        <v>131</v>
      </c>
      <c r="AQ71" s="4" t="s">
        <v>132</v>
      </c>
      <c r="AR71" s="4" t="s">
        <v>133</v>
      </c>
      <c r="AS71" s="4" t="s">
        <v>134</v>
      </c>
      <c r="AT71" s="4" t="s">
        <v>135</v>
      </c>
      <c r="AU71" s="4" t="s">
        <v>136</v>
      </c>
      <c r="AV71" s="4" t="s">
        <v>137</v>
      </c>
      <c r="AX71" s="4" t="s">
        <v>130</v>
      </c>
      <c r="AY71" s="4" t="s">
        <v>131</v>
      </c>
      <c r="AZ71" s="4" t="s">
        <v>132</v>
      </c>
      <c r="BA71" s="4" t="s">
        <v>133</v>
      </c>
      <c r="BB71" s="4" t="s">
        <v>134</v>
      </c>
      <c r="BC71" s="4" t="s">
        <v>135</v>
      </c>
      <c r="BD71" s="4" t="s">
        <v>136</v>
      </c>
      <c r="BE71" s="4" t="s">
        <v>137</v>
      </c>
      <c r="BG71" s="4" t="s">
        <v>130</v>
      </c>
      <c r="BH71" s="4" t="s">
        <v>131</v>
      </c>
      <c r="BI71" s="4" t="s">
        <v>132</v>
      </c>
      <c r="BJ71" s="4" t="s">
        <v>133</v>
      </c>
      <c r="BK71" s="4" t="s">
        <v>134</v>
      </c>
      <c r="BL71" s="4" t="s">
        <v>135</v>
      </c>
      <c r="BM71" s="4" t="s">
        <v>136</v>
      </c>
      <c r="BN71" s="4" t="s">
        <v>137</v>
      </c>
    </row>
    <row r="72" spans="2:66" x14ac:dyDescent="0.3">
      <c r="C72">
        <v>1</v>
      </c>
      <c r="D72" t="s">
        <v>3</v>
      </c>
      <c r="E72" s="4">
        <v>28</v>
      </c>
      <c r="F72" s="4">
        <v>28</v>
      </c>
      <c r="G72" s="4">
        <v>28</v>
      </c>
      <c r="H72" s="4">
        <v>28</v>
      </c>
      <c r="I72" s="4">
        <v>28</v>
      </c>
      <c r="J72" s="4">
        <v>28</v>
      </c>
      <c r="K72" s="4">
        <v>28</v>
      </c>
      <c r="L72" s="4">
        <v>28</v>
      </c>
      <c r="N72" s="4">
        <v>14.9</v>
      </c>
      <c r="O72" s="4">
        <v>15.8</v>
      </c>
      <c r="P72" s="4">
        <v>26.9</v>
      </c>
      <c r="Q72" s="4">
        <v>42.2</v>
      </c>
      <c r="R72" s="4">
        <v>50.5</v>
      </c>
      <c r="S72" s="4">
        <v>44.4</v>
      </c>
      <c r="T72" s="4">
        <v>29</v>
      </c>
      <c r="U72" s="4">
        <v>16.2</v>
      </c>
      <c r="W72" s="4">
        <v>14.3</v>
      </c>
      <c r="X72" s="4">
        <v>14.5</v>
      </c>
      <c r="Y72" s="4">
        <v>26.2</v>
      </c>
      <c r="Z72" s="4">
        <v>46.3</v>
      </c>
      <c r="AA72" s="4">
        <v>57.9</v>
      </c>
      <c r="AB72" s="4">
        <v>49.4</v>
      </c>
      <c r="AC72" s="4">
        <v>28.7</v>
      </c>
      <c r="AD72" s="4">
        <v>14.9</v>
      </c>
      <c r="AF72" s="4">
        <v>13.4</v>
      </c>
      <c r="AG72" s="4">
        <v>13.5</v>
      </c>
      <c r="AH72" s="4">
        <v>24.7</v>
      </c>
      <c r="AI72" s="4">
        <v>48.1</v>
      </c>
      <c r="AJ72" s="4">
        <v>62.2</v>
      </c>
      <c r="AK72" s="4">
        <v>51.8</v>
      </c>
      <c r="AL72" s="4">
        <v>27.8</v>
      </c>
      <c r="AM72" s="4">
        <v>13.8</v>
      </c>
      <c r="AO72" s="4">
        <v>11.1</v>
      </c>
      <c r="AP72" s="4">
        <v>11.1</v>
      </c>
      <c r="AQ72" s="4">
        <v>20.2</v>
      </c>
      <c r="AR72" s="4">
        <v>43.9</v>
      </c>
      <c r="AS72" s="4">
        <v>60.1</v>
      </c>
      <c r="AT72" s="4">
        <v>48.1</v>
      </c>
      <c r="AU72" s="4">
        <v>23.4</v>
      </c>
      <c r="AV72" s="4">
        <v>11.4</v>
      </c>
      <c r="AX72" s="4">
        <v>7.5</v>
      </c>
      <c r="AY72" s="4">
        <v>7.5</v>
      </c>
      <c r="AZ72" s="4">
        <v>10.6</v>
      </c>
      <c r="BA72" s="4">
        <v>22.2</v>
      </c>
      <c r="BB72" s="4">
        <v>33.4</v>
      </c>
      <c r="BC72" s="4">
        <v>25.1</v>
      </c>
      <c r="BD72" s="4">
        <v>12.7</v>
      </c>
      <c r="BE72" s="4">
        <v>7.6</v>
      </c>
      <c r="BG72" s="4">
        <v>5.6</v>
      </c>
      <c r="BH72" s="4">
        <v>5.6</v>
      </c>
      <c r="BI72" s="4">
        <v>5.6</v>
      </c>
      <c r="BJ72" s="4">
        <v>5.6</v>
      </c>
      <c r="BK72" s="4">
        <v>5.6</v>
      </c>
      <c r="BL72" s="4">
        <v>5.6</v>
      </c>
      <c r="BM72" s="4">
        <v>5.6</v>
      </c>
      <c r="BN72" s="4">
        <v>5.6</v>
      </c>
    </row>
    <row r="73" spans="2:66" x14ac:dyDescent="0.3">
      <c r="C73">
        <v>2</v>
      </c>
      <c r="D73" t="s">
        <v>4</v>
      </c>
      <c r="E73" s="4">
        <v>49.3</v>
      </c>
      <c r="F73" s="4">
        <v>49.3</v>
      </c>
      <c r="G73" s="4">
        <v>49.3</v>
      </c>
      <c r="H73" s="4">
        <v>49.3</v>
      </c>
      <c r="I73" s="4">
        <v>49.3</v>
      </c>
      <c r="J73" s="4">
        <v>49.3</v>
      </c>
      <c r="K73" s="4">
        <v>49.3</v>
      </c>
      <c r="L73" s="4">
        <v>49.3</v>
      </c>
      <c r="N73" s="4">
        <v>27.2</v>
      </c>
      <c r="O73" s="4">
        <v>34.5</v>
      </c>
      <c r="P73" s="4">
        <v>49.4</v>
      </c>
      <c r="Q73" s="4">
        <v>63.7</v>
      </c>
      <c r="R73" s="4">
        <v>69.099999999999994</v>
      </c>
      <c r="S73" s="4">
        <v>61.2</v>
      </c>
      <c r="T73" s="4">
        <v>46.2</v>
      </c>
      <c r="U73" s="4">
        <v>32.9</v>
      </c>
      <c r="W73" s="4">
        <v>25.9</v>
      </c>
      <c r="X73" s="4">
        <v>30.4</v>
      </c>
      <c r="Y73" s="4">
        <v>47.9</v>
      </c>
      <c r="Z73" s="4">
        <v>66.5</v>
      </c>
      <c r="AA73" s="4">
        <v>74.099999999999994</v>
      </c>
      <c r="AB73" s="4">
        <v>63.2</v>
      </c>
      <c r="AC73" s="4">
        <v>44</v>
      </c>
      <c r="AD73" s="4">
        <v>29.2</v>
      </c>
      <c r="AF73" s="4">
        <v>24.1</v>
      </c>
      <c r="AG73" s="4">
        <v>27.3</v>
      </c>
      <c r="AH73" s="4">
        <v>45.4</v>
      </c>
      <c r="AI73" s="4">
        <v>66.3</v>
      </c>
      <c r="AJ73" s="4">
        <v>75.400000000000006</v>
      </c>
      <c r="AK73" s="4">
        <v>62.1</v>
      </c>
      <c r="AL73" s="4">
        <v>41.1</v>
      </c>
      <c r="AM73" s="4">
        <v>26.4</v>
      </c>
      <c r="AO73" s="4">
        <v>19.5</v>
      </c>
      <c r="AP73" s="4">
        <v>21.5</v>
      </c>
      <c r="AQ73" s="4">
        <v>36.5</v>
      </c>
      <c r="AR73" s="4">
        <v>56.8</v>
      </c>
      <c r="AS73" s="4">
        <v>66.7</v>
      </c>
      <c r="AT73" s="4">
        <v>52.2</v>
      </c>
      <c r="AU73" s="4">
        <v>32.799999999999997</v>
      </c>
      <c r="AV73" s="4">
        <v>20.9</v>
      </c>
      <c r="AX73" s="4">
        <v>12.9</v>
      </c>
      <c r="AY73" s="4">
        <v>13.5</v>
      </c>
      <c r="AZ73" s="4">
        <v>18.600000000000001</v>
      </c>
      <c r="BA73" s="4">
        <v>26.7</v>
      </c>
      <c r="BB73" s="4">
        <v>31.5</v>
      </c>
      <c r="BC73" s="4">
        <v>24.2</v>
      </c>
      <c r="BD73" s="4">
        <v>17.3</v>
      </c>
      <c r="BE73" s="4">
        <v>13.2</v>
      </c>
      <c r="BG73" s="4">
        <v>9.8000000000000007</v>
      </c>
      <c r="BH73" s="4">
        <v>9.8000000000000007</v>
      </c>
      <c r="BI73" s="4">
        <v>9.8000000000000007</v>
      </c>
      <c r="BJ73" s="4">
        <v>9.8000000000000007</v>
      </c>
      <c r="BK73" s="4">
        <v>9.8000000000000007</v>
      </c>
      <c r="BL73" s="4">
        <v>9.8000000000000007</v>
      </c>
      <c r="BM73" s="4">
        <v>9.8000000000000007</v>
      </c>
      <c r="BN73" s="4">
        <v>9.8000000000000007</v>
      </c>
    </row>
    <row r="74" spans="2:66" x14ac:dyDescent="0.3">
      <c r="C74">
        <v>3</v>
      </c>
      <c r="D74" t="s">
        <v>5</v>
      </c>
      <c r="E74" s="4">
        <v>96.6</v>
      </c>
      <c r="F74" s="4">
        <v>96.6</v>
      </c>
      <c r="G74" s="4">
        <v>96.6</v>
      </c>
      <c r="H74" s="4">
        <v>96.6</v>
      </c>
      <c r="I74" s="4">
        <v>96.6</v>
      </c>
      <c r="J74" s="4">
        <v>96.6</v>
      </c>
      <c r="K74" s="4">
        <v>96.6</v>
      </c>
      <c r="L74" s="4">
        <v>96.6</v>
      </c>
      <c r="N74" s="4">
        <v>56.4</v>
      </c>
      <c r="O74" s="4">
        <v>72.8</v>
      </c>
      <c r="P74" s="4">
        <v>97.6</v>
      </c>
      <c r="Q74" s="4">
        <v>117.7</v>
      </c>
      <c r="R74" s="4">
        <v>122.5</v>
      </c>
      <c r="S74" s="4">
        <v>109.3</v>
      </c>
      <c r="T74" s="4">
        <v>87.7</v>
      </c>
      <c r="U74" s="4">
        <v>66.7</v>
      </c>
      <c r="W74" s="4">
        <v>44.3</v>
      </c>
      <c r="X74" s="4">
        <v>63.1</v>
      </c>
      <c r="Y74" s="4">
        <v>94.2</v>
      </c>
      <c r="Z74" s="4">
        <v>120.2</v>
      </c>
      <c r="AA74" s="4">
        <v>126.6</v>
      </c>
      <c r="AB74" s="4">
        <v>109.1</v>
      </c>
      <c r="AC74" s="4">
        <v>82</v>
      </c>
      <c r="AD74" s="4">
        <v>56.6</v>
      </c>
      <c r="AF74" s="4">
        <v>41.5</v>
      </c>
      <c r="AG74" s="4">
        <v>56.3</v>
      </c>
      <c r="AH74" s="4">
        <v>88.5</v>
      </c>
      <c r="AI74" s="4">
        <v>116.9</v>
      </c>
      <c r="AJ74" s="4">
        <v>124.3</v>
      </c>
      <c r="AK74" s="4">
        <v>103.9</v>
      </c>
      <c r="AL74" s="4">
        <v>74.8</v>
      </c>
      <c r="AM74" s="4">
        <v>49.6</v>
      </c>
      <c r="AO74" s="4">
        <v>34.799999999999997</v>
      </c>
      <c r="AP74" s="4">
        <v>44.2</v>
      </c>
      <c r="AQ74" s="4">
        <v>70.7</v>
      </c>
      <c r="AR74" s="4">
        <v>95.4</v>
      </c>
      <c r="AS74" s="4">
        <v>101.8</v>
      </c>
      <c r="AT74" s="4">
        <v>82.1</v>
      </c>
      <c r="AU74" s="4">
        <v>57.3</v>
      </c>
      <c r="AV74" s="4">
        <v>38.5</v>
      </c>
      <c r="AX74" s="4">
        <v>24.5</v>
      </c>
      <c r="AY74" s="4">
        <v>27.6</v>
      </c>
      <c r="AZ74" s="4">
        <v>36.700000000000003</v>
      </c>
      <c r="BA74" s="4">
        <v>42</v>
      </c>
      <c r="BB74" s="4">
        <v>37.299999999999997</v>
      </c>
      <c r="BC74" s="4">
        <v>35.1</v>
      </c>
      <c r="BD74" s="4">
        <v>29.9</v>
      </c>
      <c r="BE74" s="4">
        <v>25.2</v>
      </c>
      <c r="BG74" s="4">
        <v>19.3</v>
      </c>
      <c r="BH74" s="4">
        <v>19.3</v>
      </c>
      <c r="BI74" s="4">
        <v>19.3</v>
      </c>
      <c r="BJ74" s="4">
        <v>19.3</v>
      </c>
      <c r="BK74" s="4">
        <v>19.3</v>
      </c>
      <c r="BL74" s="4">
        <v>19.3</v>
      </c>
      <c r="BM74" s="4">
        <v>19.3</v>
      </c>
      <c r="BN74" s="4">
        <v>19.3</v>
      </c>
    </row>
    <row r="75" spans="2:66" x14ac:dyDescent="0.3">
      <c r="C75">
        <v>4</v>
      </c>
      <c r="D75" t="s">
        <v>6</v>
      </c>
      <c r="E75" s="4">
        <v>160.5</v>
      </c>
      <c r="F75" s="4">
        <v>160.5</v>
      </c>
      <c r="G75" s="4">
        <v>160.5</v>
      </c>
      <c r="H75" s="4">
        <v>160.5</v>
      </c>
      <c r="I75" s="4">
        <v>160.5</v>
      </c>
      <c r="J75" s="4">
        <v>160.5</v>
      </c>
      <c r="K75" s="4">
        <v>160.5</v>
      </c>
      <c r="L75" s="4">
        <v>160.5</v>
      </c>
      <c r="N75" s="4">
        <v>104.6</v>
      </c>
      <c r="O75" s="4">
        <v>125.1</v>
      </c>
      <c r="P75" s="4">
        <v>158.9</v>
      </c>
      <c r="Q75" s="4">
        <v>184.1</v>
      </c>
      <c r="R75" s="4">
        <v>189.5</v>
      </c>
      <c r="S75" s="4">
        <v>174.5</v>
      </c>
      <c r="T75" s="4">
        <v>146.5</v>
      </c>
      <c r="U75" s="4">
        <v>115.6</v>
      </c>
      <c r="W75" s="4">
        <v>70</v>
      </c>
      <c r="X75" s="4">
        <v>107.1</v>
      </c>
      <c r="Y75" s="4">
        <v>152.19999999999999</v>
      </c>
      <c r="Z75" s="4">
        <v>183.5</v>
      </c>
      <c r="AA75" s="4">
        <v>189.7</v>
      </c>
      <c r="AB75" s="4">
        <v>171</v>
      </c>
      <c r="AC75" s="4">
        <v>136.69999999999999</v>
      </c>
      <c r="AD75" s="4">
        <v>96.5</v>
      </c>
      <c r="AF75" s="4">
        <v>57.8</v>
      </c>
      <c r="AG75" s="4">
        <v>93.9</v>
      </c>
      <c r="AH75" s="4">
        <v>142</v>
      </c>
      <c r="AI75" s="4">
        <v>174.2</v>
      </c>
      <c r="AJ75" s="4">
        <v>180.2</v>
      </c>
      <c r="AK75" s="4">
        <v>160.4</v>
      </c>
      <c r="AL75" s="4">
        <v>125.1</v>
      </c>
      <c r="AM75" s="4">
        <v>83.1</v>
      </c>
      <c r="AO75" s="4">
        <v>49.4</v>
      </c>
      <c r="AP75" s="4">
        <v>72.900000000000006</v>
      </c>
      <c r="AQ75" s="4">
        <v>112.2</v>
      </c>
      <c r="AR75" s="4">
        <v>135.80000000000001</v>
      </c>
      <c r="AS75" s="4">
        <v>135.1</v>
      </c>
      <c r="AT75" s="4">
        <v>121.9</v>
      </c>
      <c r="AU75" s="4">
        <v>96.2</v>
      </c>
      <c r="AV75" s="4">
        <v>64.099999999999994</v>
      </c>
      <c r="AX75" s="4">
        <v>38.299999999999997</v>
      </c>
      <c r="AY75" s="4">
        <v>45.5</v>
      </c>
      <c r="AZ75" s="4">
        <v>57.1</v>
      </c>
      <c r="BA75" s="4">
        <v>56.3</v>
      </c>
      <c r="BB75" s="4">
        <v>39</v>
      </c>
      <c r="BC75" s="4">
        <v>50.7</v>
      </c>
      <c r="BD75" s="4">
        <v>49.9</v>
      </c>
      <c r="BE75" s="4">
        <v>41.8</v>
      </c>
      <c r="BG75" s="4">
        <v>32.1</v>
      </c>
      <c r="BH75" s="4">
        <v>32.1</v>
      </c>
      <c r="BI75" s="4">
        <v>32.1</v>
      </c>
      <c r="BJ75" s="4">
        <v>32.1</v>
      </c>
      <c r="BK75" s="4">
        <v>32.1</v>
      </c>
      <c r="BL75" s="4">
        <v>32.1</v>
      </c>
      <c r="BM75" s="4">
        <v>32.1</v>
      </c>
      <c r="BN75" s="4">
        <v>32.1</v>
      </c>
    </row>
    <row r="76" spans="2:66" x14ac:dyDescent="0.3">
      <c r="C76">
        <v>5</v>
      </c>
      <c r="D76" t="s">
        <v>7</v>
      </c>
      <c r="E76" s="4">
        <v>197</v>
      </c>
      <c r="F76" s="4">
        <v>197</v>
      </c>
      <c r="G76" s="4">
        <v>197</v>
      </c>
      <c r="H76" s="4">
        <v>197</v>
      </c>
      <c r="I76" s="4">
        <v>197</v>
      </c>
      <c r="J76" s="4">
        <v>197</v>
      </c>
      <c r="K76" s="4">
        <v>197</v>
      </c>
      <c r="L76" s="4">
        <v>197</v>
      </c>
      <c r="N76" s="4">
        <v>148.5</v>
      </c>
      <c r="O76" s="4">
        <v>160.6</v>
      </c>
      <c r="P76" s="4">
        <v>186.3</v>
      </c>
      <c r="Q76" s="4">
        <v>206.3</v>
      </c>
      <c r="R76" s="4">
        <v>211.1</v>
      </c>
      <c r="S76" s="4">
        <v>201.5</v>
      </c>
      <c r="T76" s="4">
        <v>179.9</v>
      </c>
      <c r="U76" s="4">
        <v>155.80000000000001</v>
      </c>
      <c r="W76" s="4">
        <v>113.6</v>
      </c>
      <c r="X76" s="4">
        <v>134.5</v>
      </c>
      <c r="Y76" s="4">
        <v>172</v>
      </c>
      <c r="Z76" s="4">
        <v>197.3</v>
      </c>
      <c r="AA76" s="4">
        <v>202.7</v>
      </c>
      <c r="AB76" s="4">
        <v>191.1</v>
      </c>
      <c r="AC76" s="4">
        <v>164.4</v>
      </c>
      <c r="AD76" s="4">
        <v>128.69999999999999</v>
      </c>
      <c r="AF76" s="4">
        <v>78.5</v>
      </c>
      <c r="AG76" s="4">
        <v>113.2</v>
      </c>
      <c r="AH76" s="4">
        <v>154.69999999999999</v>
      </c>
      <c r="AI76" s="4">
        <v>179.9</v>
      </c>
      <c r="AJ76" s="4">
        <v>184.5</v>
      </c>
      <c r="AK76" s="4">
        <v>173.4</v>
      </c>
      <c r="AL76" s="4">
        <v>146.30000000000001</v>
      </c>
      <c r="AM76" s="4">
        <v>107.5</v>
      </c>
      <c r="AO76" s="4">
        <v>61.9</v>
      </c>
      <c r="AP76" s="4">
        <v>82.9</v>
      </c>
      <c r="AQ76" s="4">
        <v>114.6</v>
      </c>
      <c r="AR76" s="4">
        <v>128.4</v>
      </c>
      <c r="AS76" s="4">
        <v>124.9</v>
      </c>
      <c r="AT76" s="4">
        <v>122.1</v>
      </c>
      <c r="AU76" s="4">
        <v>107.3</v>
      </c>
      <c r="AV76" s="4">
        <v>78.900000000000006</v>
      </c>
      <c r="AX76" s="4">
        <v>46.7</v>
      </c>
      <c r="AY76" s="4">
        <v>51.9</v>
      </c>
      <c r="AZ76" s="4">
        <v>57.8</v>
      </c>
      <c r="BA76" s="4">
        <v>51.9</v>
      </c>
      <c r="BB76" s="4">
        <v>45.5</v>
      </c>
      <c r="BC76" s="4">
        <v>50.4</v>
      </c>
      <c r="BD76" s="4">
        <v>55.2</v>
      </c>
      <c r="BE76" s="4">
        <v>50.7</v>
      </c>
      <c r="BG76" s="4">
        <v>39.299999999999997</v>
      </c>
      <c r="BH76" s="4">
        <v>39.299999999999997</v>
      </c>
      <c r="BI76" s="4">
        <v>39.299999999999997</v>
      </c>
      <c r="BJ76" s="4">
        <v>39.299999999999997</v>
      </c>
      <c r="BK76" s="4">
        <v>39.299999999999997</v>
      </c>
      <c r="BL76" s="4">
        <v>39.299999999999997</v>
      </c>
      <c r="BM76" s="4">
        <v>39.299999999999997</v>
      </c>
      <c r="BN76" s="4">
        <v>39.299999999999997</v>
      </c>
    </row>
    <row r="77" spans="2:66" x14ac:dyDescent="0.3">
      <c r="C77">
        <v>6</v>
      </c>
      <c r="D77" t="s">
        <v>8</v>
      </c>
      <c r="E77" s="4">
        <v>209.3</v>
      </c>
      <c r="F77" s="4">
        <v>209.3</v>
      </c>
      <c r="G77" s="4">
        <v>209.3</v>
      </c>
      <c r="H77" s="4">
        <v>209.3</v>
      </c>
      <c r="I77" s="4">
        <v>209.3</v>
      </c>
      <c r="J77" s="4">
        <v>209.3</v>
      </c>
      <c r="K77" s="4">
        <v>209.3</v>
      </c>
      <c r="L77" s="4">
        <v>209.3</v>
      </c>
      <c r="N77" s="4">
        <v>171</v>
      </c>
      <c r="O77" s="4">
        <v>173</v>
      </c>
      <c r="P77" s="4">
        <v>189.7</v>
      </c>
      <c r="Q77" s="4">
        <v>204.4</v>
      </c>
      <c r="R77" s="4">
        <v>211.2</v>
      </c>
      <c r="S77" s="4">
        <v>210.7</v>
      </c>
      <c r="T77" s="4">
        <v>199.4</v>
      </c>
      <c r="U77" s="4">
        <v>180.6</v>
      </c>
      <c r="W77" s="4">
        <v>139.6</v>
      </c>
      <c r="X77" s="4">
        <v>145.9</v>
      </c>
      <c r="Y77" s="4">
        <v>173.3</v>
      </c>
      <c r="Z77" s="4">
        <v>190.7</v>
      </c>
      <c r="AA77" s="4">
        <v>197.3</v>
      </c>
      <c r="AB77" s="4">
        <v>199.3</v>
      </c>
      <c r="AC77" s="4">
        <v>186.2</v>
      </c>
      <c r="AD77" s="4">
        <v>156.30000000000001</v>
      </c>
      <c r="AF77" s="4">
        <v>102.9</v>
      </c>
      <c r="AG77" s="4">
        <v>123.3</v>
      </c>
      <c r="AH77" s="4">
        <v>154.5</v>
      </c>
      <c r="AI77" s="4">
        <v>170.7</v>
      </c>
      <c r="AJ77" s="4">
        <v>175.1</v>
      </c>
      <c r="AK77" s="4">
        <v>180.9</v>
      </c>
      <c r="AL77" s="4">
        <v>169.1</v>
      </c>
      <c r="AM77" s="4">
        <v>134.1</v>
      </c>
      <c r="AO77" s="4">
        <v>73</v>
      </c>
      <c r="AP77" s="4">
        <v>92</v>
      </c>
      <c r="AQ77" s="4">
        <v>114.8</v>
      </c>
      <c r="AR77" s="4">
        <v>118</v>
      </c>
      <c r="AS77" s="4">
        <v>112.7</v>
      </c>
      <c r="AT77" s="4">
        <v>127.8</v>
      </c>
      <c r="AU77" s="4">
        <v>125.7</v>
      </c>
      <c r="AV77" s="4">
        <v>97.8</v>
      </c>
      <c r="AX77" s="4">
        <v>50.6</v>
      </c>
      <c r="AY77" s="4">
        <v>55.4</v>
      </c>
      <c r="AZ77" s="4">
        <v>59.9</v>
      </c>
      <c r="BA77" s="4">
        <v>51.7</v>
      </c>
      <c r="BB77" s="4">
        <v>48.3</v>
      </c>
      <c r="BC77" s="4">
        <v>52.3</v>
      </c>
      <c r="BD77" s="4">
        <v>62.4</v>
      </c>
      <c r="BE77" s="4">
        <v>57.8</v>
      </c>
      <c r="BG77" s="4">
        <v>41.8</v>
      </c>
      <c r="BH77" s="4">
        <v>41.8</v>
      </c>
      <c r="BI77" s="4">
        <v>41.8</v>
      </c>
      <c r="BJ77" s="4">
        <v>41.8</v>
      </c>
      <c r="BK77" s="4">
        <v>41.8</v>
      </c>
      <c r="BL77" s="4">
        <v>41.8</v>
      </c>
      <c r="BM77" s="4">
        <v>41.8</v>
      </c>
      <c r="BN77" s="4">
        <v>41.8</v>
      </c>
    </row>
    <row r="78" spans="2:66" x14ac:dyDescent="0.3">
      <c r="C78">
        <v>7</v>
      </c>
      <c r="D78" t="s">
        <v>9</v>
      </c>
      <c r="E78" s="4">
        <v>191</v>
      </c>
      <c r="F78" s="4">
        <v>191</v>
      </c>
      <c r="G78" s="4">
        <v>191</v>
      </c>
      <c r="H78" s="4">
        <v>191</v>
      </c>
      <c r="I78" s="4">
        <v>191</v>
      </c>
      <c r="J78" s="4">
        <v>191</v>
      </c>
      <c r="K78" s="4">
        <v>191</v>
      </c>
      <c r="L78" s="4">
        <v>191</v>
      </c>
      <c r="N78" s="4">
        <v>153</v>
      </c>
      <c r="O78" s="4">
        <v>156.9</v>
      </c>
      <c r="P78" s="4">
        <v>175</v>
      </c>
      <c r="Q78" s="4">
        <v>190</v>
      </c>
      <c r="R78" s="4">
        <v>196.1</v>
      </c>
      <c r="S78" s="4">
        <v>193.2</v>
      </c>
      <c r="T78" s="4">
        <v>180.2</v>
      </c>
      <c r="U78" s="4">
        <v>162.1</v>
      </c>
      <c r="W78" s="4">
        <v>123.5</v>
      </c>
      <c r="X78" s="4">
        <v>132.69999999999999</v>
      </c>
      <c r="Y78" s="4">
        <v>160.4</v>
      </c>
      <c r="Z78" s="4">
        <v>179.1</v>
      </c>
      <c r="AA78" s="4">
        <v>185</v>
      </c>
      <c r="AB78" s="4">
        <v>182.5</v>
      </c>
      <c r="AC78" s="4">
        <v>166.8</v>
      </c>
      <c r="AD78" s="4">
        <v>139</v>
      </c>
      <c r="AF78" s="4">
        <v>90.4</v>
      </c>
      <c r="AG78" s="4">
        <v>112.3</v>
      </c>
      <c r="AH78" s="4">
        <v>143.19999999999999</v>
      </c>
      <c r="AI78" s="4">
        <v>161.80000000000001</v>
      </c>
      <c r="AJ78" s="4">
        <v>165.9</v>
      </c>
      <c r="AK78" s="4">
        <v>165.4</v>
      </c>
      <c r="AL78" s="4">
        <v>150.6</v>
      </c>
      <c r="AM78" s="4">
        <v>119.2</v>
      </c>
      <c r="AO78" s="4">
        <v>66.7</v>
      </c>
      <c r="AP78" s="4">
        <v>81.2</v>
      </c>
      <c r="AQ78" s="4">
        <v>104.9</v>
      </c>
      <c r="AR78" s="4">
        <v>113.2</v>
      </c>
      <c r="AS78" s="4">
        <v>109.7</v>
      </c>
      <c r="AT78" s="4">
        <v>117.1</v>
      </c>
      <c r="AU78" s="4">
        <v>112.7</v>
      </c>
      <c r="AV78" s="4">
        <v>88.5</v>
      </c>
      <c r="AX78" s="4">
        <v>46.5</v>
      </c>
      <c r="AY78" s="4">
        <v>48.9</v>
      </c>
      <c r="AZ78" s="4">
        <v>53</v>
      </c>
      <c r="BA78" s="4">
        <v>48</v>
      </c>
      <c r="BB78" s="4">
        <v>44.9</v>
      </c>
      <c r="BC78" s="4">
        <v>49.7</v>
      </c>
      <c r="BD78" s="4">
        <v>57.7</v>
      </c>
      <c r="BE78" s="4">
        <v>53.5</v>
      </c>
      <c r="BG78" s="4">
        <v>38.200000000000003</v>
      </c>
      <c r="BH78" s="4">
        <v>38.200000000000003</v>
      </c>
      <c r="BI78" s="4">
        <v>38.200000000000003</v>
      </c>
      <c r="BJ78" s="4">
        <v>38.200000000000003</v>
      </c>
      <c r="BK78" s="4">
        <v>38.200000000000003</v>
      </c>
      <c r="BL78" s="4">
        <v>38.200000000000003</v>
      </c>
      <c r="BM78" s="4">
        <v>38.200000000000003</v>
      </c>
      <c r="BN78" s="4">
        <v>38.200000000000003</v>
      </c>
    </row>
    <row r="79" spans="2:66" x14ac:dyDescent="0.3">
      <c r="C79">
        <v>8</v>
      </c>
      <c r="D79" t="s">
        <v>10</v>
      </c>
      <c r="E79" s="4">
        <v>177.2</v>
      </c>
      <c r="F79" s="4">
        <v>177.2</v>
      </c>
      <c r="G79" s="4">
        <v>177.2</v>
      </c>
      <c r="H79" s="4">
        <v>177.2</v>
      </c>
      <c r="I79" s="4">
        <v>177.2</v>
      </c>
      <c r="J79" s="4">
        <v>177.2</v>
      </c>
      <c r="K79" s="4">
        <v>177.2</v>
      </c>
      <c r="L79" s="4">
        <v>177.2</v>
      </c>
      <c r="N79" s="4">
        <v>125.8</v>
      </c>
      <c r="O79" s="4">
        <v>127.5</v>
      </c>
      <c r="P79" s="4">
        <v>152.80000000000001</v>
      </c>
      <c r="Q79" s="4">
        <v>179.3</v>
      </c>
      <c r="R79" s="4">
        <v>197.9</v>
      </c>
      <c r="S79" s="4">
        <v>198.3</v>
      </c>
      <c r="T79" s="4">
        <v>178.4</v>
      </c>
      <c r="U79" s="4">
        <v>147.6</v>
      </c>
      <c r="W79" s="4">
        <v>91.5</v>
      </c>
      <c r="X79" s="4">
        <v>102.9</v>
      </c>
      <c r="Y79" s="4">
        <v>137.9</v>
      </c>
      <c r="Z79" s="4">
        <v>171</v>
      </c>
      <c r="AA79" s="4">
        <v>193.5</v>
      </c>
      <c r="AB79" s="4">
        <v>194.9</v>
      </c>
      <c r="AC79" s="4">
        <v>169.8</v>
      </c>
      <c r="AD79" s="4">
        <v>127.2</v>
      </c>
      <c r="AF79" s="4">
        <v>68</v>
      </c>
      <c r="AG79" s="4">
        <v>85.8</v>
      </c>
      <c r="AH79" s="4">
        <v>122</v>
      </c>
      <c r="AI79" s="4">
        <v>156.4</v>
      </c>
      <c r="AJ79" s="4">
        <v>179.7</v>
      </c>
      <c r="AK79" s="4">
        <v>182.9</v>
      </c>
      <c r="AL79" s="4">
        <v>156.9</v>
      </c>
      <c r="AM79" s="4">
        <v>110.2</v>
      </c>
      <c r="AO79" s="4">
        <v>55.9</v>
      </c>
      <c r="AP79" s="4">
        <v>63.9</v>
      </c>
      <c r="AQ79" s="4">
        <v>89</v>
      </c>
      <c r="AR79" s="4">
        <v>112.4</v>
      </c>
      <c r="AS79" s="4">
        <v>128.5</v>
      </c>
      <c r="AT79" s="4">
        <v>137.1</v>
      </c>
      <c r="AU79" s="4">
        <v>120</v>
      </c>
      <c r="AV79" s="4">
        <v>83.1</v>
      </c>
      <c r="AX79" s="4">
        <v>42.1</v>
      </c>
      <c r="AY79" s="4">
        <v>42.9</v>
      </c>
      <c r="AZ79" s="4">
        <v>47.7</v>
      </c>
      <c r="BA79" s="4">
        <v>47.5</v>
      </c>
      <c r="BB79" s="4">
        <v>41.6</v>
      </c>
      <c r="BC79" s="4">
        <v>54.3</v>
      </c>
      <c r="BD79" s="4">
        <v>59.6</v>
      </c>
      <c r="BE79" s="4">
        <v>50.2</v>
      </c>
      <c r="BG79" s="4">
        <v>35.299999999999997</v>
      </c>
      <c r="BH79" s="4">
        <v>35.299999999999997</v>
      </c>
      <c r="BI79" s="4">
        <v>35.299999999999997</v>
      </c>
      <c r="BJ79" s="4">
        <v>35.299999999999997</v>
      </c>
      <c r="BK79" s="4">
        <v>35.299999999999997</v>
      </c>
      <c r="BL79" s="4">
        <v>35.299999999999997</v>
      </c>
      <c r="BM79" s="4">
        <v>35.299999999999997</v>
      </c>
      <c r="BN79" s="4">
        <v>35.299999999999997</v>
      </c>
    </row>
    <row r="80" spans="2:66" x14ac:dyDescent="0.3">
      <c r="C80">
        <v>9</v>
      </c>
      <c r="D80" t="s">
        <v>11</v>
      </c>
      <c r="E80" s="4">
        <v>123.9</v>
      </c>
      <c r="F80" s="4">
        <v>123.9</v>
      </c>
      <c r="G80" s="4">
        <v>123.9</v>
      </c>
      <c r="H80" s="4">
        <v>123.9</v>
      </c>
      <c r="I80" s="4">
        <v>123.9</v>
      </c>
      <c r="J80" s="4">
        <v>123.9</v>
      </c>
      <c r="K80" s="4">
        <v>123.9</v>
      </c>
      <c r="L80" s="4">
        <v>123.9</v>
      </c>
      <c r="N80" s="4">
        <v>73.7</v>
      </c>
      <c r="O80" s="4">
        <v>86.5</v>
      </c>
      <c r="P80" s="4">
        <v>113.7</v>
      </c>
      <c r="Q80" s="4">
        <v>140.1</v>
      </c>
      <c r="R80" s="4">
        <v>154</v>
      </c>
      <c r="S80" s="4">
        <v>146.19999999999999</v>
      </c>
      <c r="T80" s="4">
        <v>121.1</v>
      </c>
      <c r="U80" s="4">
        <v>91.6</v>
      </c>
      <c r="W80" s="4">
        <v>52.9</v>
      </c>
      <c r="X80" s="4">
        <v>72.2</v>
      </c>
      <c r="Y80" s="4">
        <v>106.2</v>
      </c>
      <c r="Z80" s="4">
        <v>139.19999999999999</v>
      </c>
      <c r="AA80" s="4">
        <v>157.6</v>
      </c>
      <c r="AB80" s="4">
        <v>147</v>
      </c>
      <c r="AC80" s="4">
        <v>115.3</v>
      </c>
      <c r="AD80" s="4">
        <v>78</v>
      </c>
      <c r="AF80" s="4">
        <v>48.6</v>
      </c>
      <c r="AG80" s="4">
        <v>62.3</v>
      </c>
      <c r="AH80" s="4">
        <v>97.2</v>
      </c>
      <c r="AI80" s="4">
        <v>132.6</v>
      </c>
      <c r="AJ80" s="4">
        <v>153.30000000000001</v>
      </c>
      <c r="AK80" s="4">
        <v>141.5</v>
      </c>
      <c r="AL80" s="4">
        <v>107.2</v>
      </c>
      <c r="AM80" s="4">
        <v>68.599999999999994</v>
      </c>
      <c r="AO80" s="4">
        <v>41.4</v>
      </c>
      <c r="AP80" s="4">
        <v>47.9</v>
      </c>
      <c r="AQ80" s="4">
        <v>73.7</v>
      </c>
      <c r="AR80" s="4">
        <v>103.6</v>
      </c>
      <c r="AS80" s="4">
        <v>122.3</v>
      </c>
      <c r="AT80" s="4">
        <v>112.2</v>
      </c>
      <c r="AU80" s="4">
        <v>83.9</v>
      </c>
      <c r="AV80" s="4">
        <v>53.6</v>
      </c>
      <c r="AX80" s="4">
        <v>30.4</v>
      </c>
      <c r="AY80" s="4">
        <v>31.4</v>
      </c>
      <c r="AZ80" s="4">
        <v>37.9</v>
      </c>
      <c r="BA80" s="4">
        <v>43.2</v>
      </c>
      <c r="BB80" s="4">
        <v>40.200000000000003</v>
      </c>
      <c r="BC80" s="4">
        <v>47.5</v>
      </c>
      <c r="BD80" s="4">
        <v>43.2</v>
      </c>
      <c r="BE80" s="4">
        <v>33.799999999999997</v>
      </c>
      <c r="BG80" s="4">
        <v>24.7</v>
      </c>
      <c r="BH80" s="4">
        <v>24.7</v>
      </c>
      <c r="BI80" s="4">
        <v>24.7</v>
      </c>
      <c r="BJ80" s="4">
        <v>24.7</v>
      </c>
      <c r="BK80" s="4">
        <v>24.7</v>
      </c>
      <c r="BL80" s="4">
        <v>24.7</v>
      </c>
      <c r="BM80" s="4">
        <v>24.7</v>
      </c>
      <c r="BN80" s="4">
        <v>24.7</v>
      </c>
    </row>
    <row r="81" spans="2:66" x14ac:dyDescent="0.3">
      <c r="C81">
        <v>10</v>
      </c>
      <c r="D81" t="s">
        <v>12</v>
      </c>
      <c r="E81" s="4">
        <v>73.2</v>
      </c>
      <c r="F81" s="4">
        <v>73.2</v>
      </c>
      <c r="G81" s="4">
        <v>73.2</v>
      </c>
      <c r="H81" s="4">
        <v>73.2</v>
      </c>
      <c r="I81" s="4">
        <v>73.2</v>
      </c>
      <c r="J81" s="4">
        <v>73.2</v>
      </c>
      <c r="K81" s="4">
        <v>73.2</v>
      </c>
      <c r="L81" s="4">
        <v>73.2</v>
      </c>
      <c r="N81" s="4">
        <v>36.299999999999997</v>
      </c>
      <c r="O81" s="4">
        <v>48.9</v>
      </c>
      <c r="P81" s="4">
        <v>71.599999999999994</v>
      </c>
      <c r="Q81" s="4">
        <v>93.6</v>
      </c>
      <c r="R81" s="4">
        <v>102.4</v>
      </c>
      <c r="S81" s="4">
        <v>91.5</v>
      </c>
      <c r="T81" s="4">
        <v>68.8</v>
      </c>
      <c r="U81" s="4">
        <v>47.3</v>
      </c>
      <c r="W81" s="4">
        <v>33.5</v>
      </c>
      <c r="X81" s="4">
        <v>41.4</v>
      </c>
      <c r="Y81" s="4">
        <v>68.400000000000006</v>
      </c>
      <c r="Z81" s="4">
        <v>97.2</v>
      </c>
      <c r="AA81" s="4">
        <v>109.4</v>
      </c>
      <c r="AB81" s="4">
        <v>94.2</v>
      </c>
      <c r="AC81" s="4">
        <v>64.8</v>
      </c>
      <c r="AD81" s="4">
        <v>40.200000000000003</v>
      </c>
      <c r="AF81" s="4">
        <v>31.5</v>
      </c>
      <c r="AG81" s="4">
        <v>36.6</v>
      </c>
      <c r="AH81" s="4">
        <v>63.5</v>
      </c>
      <c r="AI81" s="4">
        <v>96</v>
      </c>
      <c r="AJ81" s="4">
        <v>110.7</v>
      </c>
      <c r="AK81" s="4">
        <v>92.6</v>
      </c>
      <c r="AL81" s="4">
        <v>59.9</v>
      </c>
      <c r="AM81" s="4">
        <v>35.9</v>
      </c>
      <c r="AO81" s="4">
        <v>26.4</v>
      </c>
      <c r="AP81" s="4">
        <v>29.1</v>
      </c>
      <c r="AQ81" s="4">
        <v>49.8</v>
      </c>
      <c r="AR81" s="4">
        <v>80.3</v>
      </c>
      <c r="AS81" s="4">
        <v>96.2</v>
      </c>
      <c r="AT81" s="4">
        <v>76.3</v>
      </c>
      <c r="AU81" s="4">
        <v>46.7</v>
      </c>
      <c r="AV81" s="4">
        <v>28.7</v>
      </c>
      <c r="AX81" s="4">
        <v>18.600000000000001</v>
      </c>
      <c r="AY81" s="4">
        <v>19.399999999999999</v>
      </c>
      <c r="AZ81" s="4">
        <v>25.4</v>
      </c>
      <c r="BA81" s="4">
        <v>35.200000000000003</v>
      </c>
      <c r="BB81" s="4">
        <v>41.6</v>
      </c>
      <c r="BC81" s="4">
        <v>33.200000000000003</v>
      </c>
      <c r="BD81" s="4">
        <v>24.7</v>
      </c>
      <c r="BE81" s="4">
        <v>19.3</v>
      </c>
      <c r="BG81" s="4">
        <v>14.6</v>
      </c>
      <c r="BH81" s="4">
        <v>14.6</v>
      </c>
      <c r="BI81" s="4">
        <v>14.6</v>
      </c>
      <c r="BJ81" s="4">
        <v>14.6</v>
      </c>
      <c r="BK81" s="4">
        <v>14.6</v>
      </c>
      <c r="BL81" s="4">
        <v>14.6</v>
      </c>
      <c r="BM81" s="4">
        <v>14.6</v>
      </c>
      <c r="BN81" s="4">
        <v>14.6</v>
      </c>
    </row>
    <row r="82" spans="2:66" x14ac:dyDescent="0.3">
      <c r="C82">
        <v>11</v>
      </c>
      <c r="D82" t="s">
        <v>13</v>
      </c>
      <c r="E82" s="4">
        <v>34.299999999999997</v>
      </c>
      <c r="F82" s="4">
        <v>34.299999999999997</v>
      </c>
      <c r="G82" s="4">
        <v>34.299999999999997</v>
      </c>
      <c r="H82" s="4">
        <v>34.299999999999997</v>
      </c>
      <c r="I82" s="4">
        <v>34.299999999999997</v>
      </c>
      <c r="J82" s="4">
        <v>34.299999999999997</v>
      </c>
      <c r="K82" s="4">
        <v>34.299999999999997</v>
      </c>
      <c r="L82" s="4">
        <v>34.299999999999997</v>
      </c>
      <c r="N82" s="4">
        <v>18.600000000000001</v>
      </c>
      <c r="O82" s="4">
        <v>20.9</v>
      </c>
      <c r="P82" s="4">
        <v>33.799999999999997</v>
      </c>
      <c r="Q82" s="4">
        <v>48.6</v>
      </c>
      <c r="R82" s="4">
        <v>54.8</v>
      </c>
      <c r="S82" s="4">
        <v>47.7</v>
      </c>
      <c r="T82" s="4">
        <v>32.9</v>
      </c>
      <c r="U82" s="4">
        <v>20.5</v>
      </c>
      <c r="W82" s="4">
        <v>17.8</v>
      </c>
      <c r="X82" s="4">
        <v>18.8</v>
      </c>
      <c r="Y82" s="4">
        <v>32.4</v>
      </c>
      <c r="Z82" s="4">
        <v>52.2</v>
      </c>
      <c r="AA82" s="4">
        <v>61</v>
      </c>
      <c r="AB82" s="4">
        <v>51.1</v>
      </c>
      <c r="AC82" s="4">
        <v>31.3</v>
      </c>
      <c r="AD82" s="4">
        <v>18.5</v>
      </c>
      <c r="AF82" s="4">
        <v>16.600000000000001</v>
      </c>
      <c r="AG82" s="4">
        <v>17.3</v>
      </c>
      <c r="AH82" s="4">
        <v>30.4</v>
      </c>
      <c r="AI82" s="4">
        <v>53.2</v>
      </c>
      <c r="AJ82" s="4">
        <v>63.9</v>
      </c>
      <c r="AK82" s="4">
        <v>51.8</v>
      </c>
      <c r="AL82" s="4">
        <v>28.9</v>
      </c>
      <c r="AM82" s="4">
        <v>17</v>
      </c>
      <c r="AO82" s="4">
        <v>13.6</v>
      </c>
      <c r="AP82" s="4">
        <v>14</v>
      </c>
      <c r="AQ82" s="4">
        <v>23.9</v>
      </c>
      <c r="AR82" s="4">
        <v>47.1</v>
      </c>
      <c r="AS82" s="4">
        <v>59.5</v>
      </c>
      <c r="AT82" s="4">
        <v>45.6</v>
      </c>
      <c r="AU82" s="4">
        <v>22.7</v>
      </c>
      <c r="AV82" s="4">
        <v>13.8</v>
      </c>
      <c r="AX82" s="4">
        <v>9.1</v>
      </c>
      <c r="AY82" s="4">
        <v>9.3000000000000007</v>
      </c>
      <c r="AZ82" s="4">
        <v>12.7</v>
      </c>
      <c r="BA82" s="4">
        <v>22.7</v>
      </c>
      <c r="BB82" s="4">
        <v>30.9</v>
      </c>
      <c r="BC82" s="4">
        <v>21.7</v>
      </c>
      <c r="BD82" s="4">
        <v>12</v>
      </c>
      <c r="BE82" s="4">
        <v>9.1999999999999993</v>
      </c>
      <c r="BG82" s="4">
        <v>6.9</v>
      </c>
      <c r="BH82" s="4">
        <v>6.9</v>
      </c>
      <c r="BI82" s="4">
        <v>6.9</v>
      </c>
      <c r="BJ82" s="4">
        <v>6.9</v>
      </c>
      <c r="BK82" s="4">
        <v>6.9</v>
      </c>
      <c r="BL82" s="4">
        <v>6.9</v>
      </c>
      <c r="BM82" s="4">
        <v>6.9</v>
      </c>
      <c r="BN82" s="4">
        <v>6.9</v>
      </c>
    </row>
    <row r="83" spans="2:66" x14ac:dyDescent="0.3">
      <c r="C83">
        <v>12</v>
      </c>
      <c r="D83" t="s">
        <v>14</v>
      </c>
      <c r="E83" s="4">
        <v>21</v>
      </c>
      <c r="F83" s="4">
        <v>21</v>
      </c>
      <c r="G83" s="4">
        <v>21</v>
      </c>
      <c r="H83" s="4">
        <v>21</v>
      </c>
      <c r="I83" s="4">
        <v>21</v>
      </c>
      <c r="J83" s="4">
        <v>21</v>
      </c>
      <c r="K83" s="4">
        <v>21</v>
      </c>
      <c r="L83" s="4">
        <v>21</v>
      </c>
      <c r="N83" s="4">
        <v>12.2</v>
      </c>
      <c r="O83" s="4">
        <v>12.5</v>
      </c>
      <c r="P83" s="4">
        <v>21.2</v>
      </c>
      <c r="Q83" s="4">
        <v>33.1</v>
      </c>
      <c r="R83" s="4">
        <v>38.299999999999997</v>
      </c>
      <c r="S83" s="4">
        <v>32.6</v>
      </c>
      <c r="T83" s="4">
        <v>20.6</v>
      </c>
      <c r="U83" s="4">
        <v>12.5</v>
      </c>
      <c r="W83" s="4">
        <v>11.7</v>
      </c>
      <c r="X83" s="4">
        <v>11.7</v>
      </c>
      <c r="Y83" s="4">
        <v>20.5</v>
      </c>
      <c r="Z83" s="4">
        <v>36.700000000000003</v>
      </c>
      <c r="AA83" s="4">
        <v>44.1</v>
      </c>
      <c r="AB83" s="4">
        <v>36.1</v>
      </c>
      <c r="AC83" s="4">
        <v>19.899999999999999</v>
      </c>
      <c r="AD83" s="4">
        <v>11.7</v>
      </c>
      <c r="AF83" s="4">
        <v>10.9</v>
      </c>
      <c r="AG83" s="4">
        <v>10.9</v>
      </c>
      <c r="AH83" s="4">
        <v>19.600000000000001</v>
      </c>
      <c r="AI83" s="4">
        <v>38.4</v>
      </c>
      <c r="AJ83" s="4">
        <v>47.4</v>
      </c>
      <c r="AK83" s="4">
        <v>37.6</v>
      </c>
      <c r="AL83" s="4">
        <v>19</v>
      </c>
      <c r="AM83" s="4">
        <v>10.9</v>
      </c>
      <c r="AO83" s="4">
        <v>8.9</v>
      </c>
      <c r="AP83" s="4">
        <v>8.9</v>
      </c>
      <c r="AQ83" s="4">
        <v>15.9</v>
      </c>
      <c r="AR83" s="4">
        <v>35.799999999999997</v>
      </c>
      <c r="AS83" s="4">
        <v>46.2</v>
      </c>
      <c r="AT83" s="4">
        <v>34.9</v>
      </c>
      <c r="AU83" s="4">
        <v>15.2</v>
      </c>
      <c r="AV83" s="4">
        <v>8.9</v>
      </c>
      <c r="AX83" s="4">
        <v>5.8</v>
      </c>
      <c r="AY83" s="4">
        <v>5.8</v>
      </c>
      <c r="AZ83" s="4">
        <v>8.4</v>
      </c>
      <c r="BA83" s="4">
        <v>19</v>
      </c>
      <c r="BB83" s="4">
        <v>26.3</v>
      </c>
      <c r="BC83" s="4">
        <v>18.3</v>
      </c>
      <c r="BD83" s="4">
        <v>8.1</v>
      </c>
      <c r="BE83" s="4">
        <v>5.8</v>
      </c>
      <c r="BG83" s="4">
        <v>4.2</v>
      </c>
      <c r="BH83" s="4">
        <v>4.2</v>
      </c>
      <c r="BI83" s="4">
        <v>4.2</v>
      </c>
      <c r="BJ83" s="4">
        <v>4.2</v>
      </c>
      <c r="BK83" s="4">
        <v>4.2</v>
      </c>
      <c r="BL83" s="4">
        <v>4.2</v>
      </c>
      <c r="BM83" s="4">
        <v>4.2</v>
      </c>
      <c r="BN83" s="4">
        <v>4.2</v>
      </c>
    </row>
    <row r="87" spans="2:66" x14ac:dyDescent="0.3">
      <c r="B87" s="3" t="s">
        <v>92</v>
      </c>
      <c r="C87" s="8" t="s">
        <v>97</v>
      </c>
    </row>
    <row r="89" spans="2:66" x14ac:dyDescent="0.3">
      <c r="C89" s="4" t="s">
        <v>87</v>
      </c>
      <c r="D89" s="4" t="s">
        <v>88</v>
      </c>
      <c r="E89" s="4"/>
      <c r="F89" s="4"/>
      <c r="G89" s="4"/>
      <c r="H89" s="4"/>
      <c r="I89" s="4"/>
      <c r="J89" s="4"/>
      <c r="K89" s="4"/>
      <c r="L89" s="4"/>
      <c r="M89" s="4"/>
      <c r="N89" s="4"/>
      <c r="O89" s="4"/>
      <c r="P89" s="4"/>
      <c r="Q89" s="4"/>
    </row>
    <row r="90" spans="2:66" x14ac:dyDescent="0.3">
      <c r="C90" s="4"/>
      <c r="D90" s="4"/>
      <c r="E90" s="4" t="s">
        <v>96</v>
      </c>
      <c r="F90" s="181" t="s">
        <v>95</v>
      </c>
      <c r="G90" s="182"/>
      <c r="H90" s="182"/>
      <c r="I90" s="182"/>
      <c r="J90" s="183"/>
      <c r="K90" s="4" t="s">
        <v>93</v>
      </c>
      <c r="L90" s="181" t="s">
        <v>94</v>
      </c>
      <c r="M90" s="182"/>
      <c r="N90" s="182"/>
      <c r="O90" s="182"/>
      <c r="P90" s="182"/>
      <c r="Q90" s="183"/>
    </row>
    <row r="91" spans="2:66" x14ac:dyDescent="0.3">
      <c r="C91" s="4"/>
      <c r="D91" s="4" t="s">
        <v>89</v>
      </c>
      <c r="E91" s="4"/>
      <c r="F91" s="4"/>
      <c r="G91" s="4"/>
      <c r="H91" s="4"/>
      <c r="I91" s="4"/>
      <c r="J91" s="4"/>
      <c r="K91" s="4"/>
      <c r="L91" s="4"/>
      <c r="M91" s="4"/>
      <c r="N91" s="4"/>
      <c r="O91" s="4"/>
      <c r="P91" s="4"/>
      <c r="Q91" s="4"/>
    </row>
    <row r="92" spans="2:66" x14ac:dyDescent="0.3">
      <c r="C92" s="4" t="s">
        <v>85</v>
      </c>
      <c r="D92" s="4"/>
      <c r="E92" s="4">
        <v>90</v>
      </c>
      <c r="F92" s="4">
        <v>75</v>
      </c>
      <c r="G92" s="4">
        <v>60</v>
      </c>
      <c r="H92" s="4">
        <v>45</v>
      </c>
      <c r="I92" s="4">
        <v>30</v>
      </c>
      <c r="J92" s="4">
        <v>15</v>
      </c>
      <c r="K92" s="4">
        <v>0</v>
      </c>
      <c r="L92" s="4">
        <v>105</v>
      </c>
      <c r="M92" s="4">
        <v>120</v>
      </c>
      <c r="N92" s="4">
        <v>135</v>
      </c>
      <c r="O92" s="4">
        <v>150</v>
      </c>
      <c r="P92" s="4">
        <v>165</v>
      </c>
      <c r="Q92" s="4">
        <v>180</v>
      </c>
    </row>
    <row r="93" spans="2:66" x14ac:dyDescent="0.3">
      <c r="C93" s="4"/>
      <c r="D93" s="4"/>
      <c r="E93" s="4" t="s">
        <v>90</v>
      </c>
      <c r="F93" s="4"/>
      <c r="G93" s="4"/>
      <c r="H93" s="4"/>
      <c r="I93" s="4"/>
      <c r="J93" s="4"/>
      <c r="K93" s="4"/>
      <c r="L93" s="4"/>
      <c r="M93" s="4"/>
      <c r="N93" s="4"/>
      <c r="O93" s="4"/>
      <c r="P93" s="4"/>
      <c r="Q93" s="4"/>
    </row>
    <row r="94" spans="2:66" x14ac:dyDescent="0.3">
      <c r="C94" s="4" t="s">
        <v>91</v>
      </c>
      <c r="D94" s="4"/>
      <c r="E94" s="6">
        <v>1</v>
      </c>
      <c r="F94" s="6">
        <v>1</v>
      </c>
      <c r="G94" s="6">
        <v>1</v>
      </c>
      <c r="H94" s="6">
        <v>1</v>
      </c>
      <c r="I94" s="6">
        <v>1</v>
      </c>
      <c r="J94" s="6">
        <v>1</v>
      </c>
      <c r="K94" s="6">
        <v>1</v>
      </c>
      <c r="L94" s="6">
        <v>1</v>
      </c>
      <c r="M94" s="6">
        <v>1</v>
      </c>
      <c r="N94" s="6">
        <v>1</v>
      </c>
      <c r="O94" s="6">
        <v>1</v>
      </c>
      <c r="P94" s="6">
        <v>1</v>
      </c>
      <c r="Q94" s="6">
        <v>1</v>
      </c>
    </row>
    <row r="96" spans="2:66" x14ac:dyDescent="0.3">
      <c r="H96" s="18" t="s">
        <v>183</v>
      </c>
      <c r="P96" s="18" t="s">
        <v>184</v>
      </c>
      <c r="X96" s="18" t="s">
        <v>182</v>
      </c>
      <c r="AF96" s="18" t="s">
        <v>185</v>
      </c>
      <c r="AN96" s="18" t="s">
        <v>181</v>
      </c>
      <c r="AV96" s="18" t="s">
        <v>186</v>
      </c>
      <c r="BD96" s="18" t="s">
        <v>176</v>
      </c>
      <c r="BL96" s="18" t="s">
        <v>180</v>
      </c>
    </row>
    <row r="97" spans="2:69" x14ac:dyDescent="0.3">
      <c r="H97">
        <v>1</v>
      </c>
      <c r="I97">
        <v>2</v>
      </c>
      <c r="J97">
        <v>3</v>
      </c>
      <c r="K97">
        <v>4</v>
      </c>
      <c r="L97">
        <v>5</v>
      </c>
      <c r="M97">
        <v>6</v>
      </c>
      <c r="N97">
        <v>7</v>
      </c>
      <c r="O97">
        <v>8</v>
      </c>
      <c r="P97">
        <v>9</v>
      </c>
      <c r="Q97">
        <v>10</v>
      </c>
      <c r="R97">
        <v>11</v>
      </c>
      <c r="S97">
        <v>12</v>
      </c>
      <c r="T97">
        <v>13</v>
      </c>
      <c r="U97">
        <v>14</v>
      </c>
      <c r="V97">
        <v>15</v>
      </c>
      <c r="W97">
        <v>16</v>
      </c>
      <c r="X97">
        <v>17</v>
      </c>
      <c r="Y97">
        <v>18</v>
      </c>
      <c r="Z97">
        <v>19</v>
      </c>
      <c r="AA97">
        <v>20</v>
      </c>
      <c r="AB97">
        <v>21</v>
      </c>
      <c r="AC97">
        <v>22</v>
      </c>
      <c r="AD97">
        <v>23</v>
      </c>
      <c r="AE97">
        <v>24</v>
      </c>
      <c r="AF97">
        <v>25</v>
      </c>
      <c r="AG97">
        <v>26</v>
      </c>
      <c r="AH97">
        <v>27</v>
      </c>
      <c r="AI97">
        <v>28</v>
      </c>
      <c r="AJ97">
        <v>29</v>
      </c>
      <c r="AK97">
        <v>30</v>
      </c>
      <c r="AL97">
        <v>31</v>
      </c>
      <c r="AM97">
        <v>32</v>
      </c>
      <c r="AN97">
        <v>33</v>
      </c>
      <c r="AO97">
        <v>34</v>
      </c>
      <c r="AP97">
        <v>35</v>
      </c>
      <c r="AQ97">
        <v>36</v>
      </c>
      <c r="AR97">
        <v>37</v>
      </c>
      <c r="AS97">
        <v>38</v>
      </c>
      <c r="AT97">
        <v>39</v>
      </c>
      <c r="AU97">
        <v>40</v>
      </c>
      <c r="AV97">
        <v>41</v>
      </c>
      <c r="AW97">
        <v>42</v>
      </c>
      <c r="AX97">
        <v>43</v>
      </c>
      <c r="AY97">
        <v>44</v>
      </c>
      <c r="AZ97">
        <v>45</v>
      </c>
      <c r="BA97">
        <v>46</v>
      </c>
      <c r="BB97">
        <v>47</v>
      </c>
      <c r="BC97">
        <v>48</v>
      </c>
      <c r="BD97">
        <v>49</v>
      </c>
      <c r="BE97">
        <v>50</v>
      </c>
      <c r="BF97">
        <v>51</v>
      </c>
      <c r="BG97">
        <v>52</v>
      </c>
      <c r="BH97">
        <v>53</v>
      </c>
      <c r="BI97">
        <v>54</v>
      </c>
      <c r="BJ97">
        <v>55</v>
      </c>
      <c r="BK97">
        <v>56</v>
      </c>
      <c r="BL97">
        <v>57</v>
      </c>
      <c r="BM97">
        <v>58</v>
      </c>
      <c r="BN97">
        <v>59</v>
      </c>
      <c r="BO97">
        <v>60</v>
      </c>
      <c r="BP97">
        <v>61</v>
      </c>
      <c r="BQ97">
        <v>62</v>
      </c>
    </row>
    <row r="98" spans="2:69" x14ac:dyDescent="0.3">
      <c r="B98" s="3" t="s">
        <v>204</v>
      </c>
      <c r="C98" t="s">
        <v>217</v>
      </c>
    </row>
    <row r="99" spans="2:69" x14ac:dyDescent="0.3">
      <c r="G99" s="4" t="s">
        <v>87</v>
      </c>
      <c r="H99" s="4" t="s">
        <v>213</v>
      </c>
      <c r="I99" s="4"/>
      <c r="J99" s="4"/>
      <c r="K99" s="4"/>
      <c r="L99" s="4"/>
      <c r="M99" s="4"/>
      <c r="O99" s="4" t="s">
        <v>87</v>
      </c>
      <c r="P99" s="4" t="s">
        <v>224</v>
      </c>
      <c r="Q99" s="4"/>
      <c r="R99" s="4"/>
      <c r="S99" s="4"/>
      <c r="T99" s="4"/>
      <c r="U99" s="4"/>
      <c r="W99" s="4" t="s">
        <v>87</v>
      </c>
      <c r="X99" s="4" t="s">
        <v>225</v>
      </c>
      <c r="Y99" s="4"/>
      <c r="Z99" s="4"/>
      <c r="AA99" s="4"/>
      <c r="AB99" s="4"/>
      <c r="AC99" s="4"/>
      <c r="AE99" s="4" t="s">
        <v>87</v>
      </c>
      <c r="AF99" s="4" t="s">
        <v>215</v>
      </c>
      <c r="AG99" s="4"/>
      <c r="AH99" s="4"/>
      <c r="AI99" s="4"/>
      <c r="AJ99" s="4"/>
      <c r="AK99" s="4"/>
      <c r="AM99" s="4" t="s">
        <v>87</v>
      </c>
      <c r="AN99" s="4" t="s">
        <v>211</v>
      </c>
      <c r="AO99" s="4"/>
      <c r="AP99" s="4"/>
      <c r="AQ99" s="4"/>
      <c r="AR99" s="4"/>
      <c r="AS99" s="4"/>
      <c r="AU99" s="4" t="s">
        <v>87</v>
      </c>
      <c r="AV99" s="4" t="s">
        <v>226</v>
      </c>
      <c r="AW99" s="4"/>
      <c r="AX99" s="4"/>
      <c r="AY99" s="4"/>
      <c r="AZ99" s="4"/>
      <c r="BA99" s="4"/>
      <c r="BC99" s="4" t="s">
        <v>87</v>
      </c>
      <c r="BD99" s="4" t="s">
        <v>227</v>
      </c>
      <c r="BE99" s="4"/>
      <c r="BF99" s="4"/>
      <c r="BG99" s="4"/>
      <c r="BH99" s="4"/>
      <c r="BI99" s="4"/>
      <c r="BK99" s="4" t="s">
        <v>87</v>
      </c>
      <c r="BL99" s="4" t="s">
        <v>207</v>
      </c>
      <c r="BM99" s="4"/>
      <c r="BN99" s="4"/>
      <c r="BO99" s="4"/>
      <c r="BP99" s="4"/>
      <c r="BQ99" s="4"/>
    </row>
    <row r="100" spans="2:69" x14ac:dyDescent="0.3">
      <c r="G100" s="4"/>
      <c r="H100" s="4" t="s">
        <v>221</v>
      </c>
      <c r="I100" s="4"/>
      <c r="J100" s="4" t="s">
        <v>222</v>
      </c>
      <c r="K100" s="4"/>
      <c r="L100" s="4" t="s">
        <v>223</v>
      </c>
      <c r="M100" s="4"/>
      <c r="O100" s="4"/>
      <c r="P100" s="4" t="s">
        <v>221</v>
      </c>
      <c r="Q100" s="4"/>
      <c r="R100" s="4" t="s">
        <v>222</v>
      </c>
      <c r="S100" s="4"/>
      <c r="T100" s="4" t="s">
        <v>223</v>
      </c>
      <c r="U100" s="4"/>
      <c r="W100" s="4"/>
      <c r="X100" s="4" t="s">
        <v>221</v>
      </c>
      <c r="Y100" s="4"/>
      <c r="Z100" s="4" t="s">
        <v>222</v>
      </c>
      <c r="AA100" s="4"/>
      <c r="AB100" s="4" t="s">
        <v>223</v>
      </c>
      <c r="AC100" s="4"/>
      <c r="AE100" s="4"/>
      <c r="AF100" s="4" t="s">
        <v>221</v>
      </c>
      <c r="AG100" s="4"/>
      <c r="AH100" s="4" t="s">
        <v>222</v>
      </c>
      <c r="AI100" s="4"/>
      <c r="AJ100" s="4" t="s">
        <v>223</v>
      </c>
      <c r="AK100" s="4"/>
      <c r="AM100" s="4"/>
      <c r="AN100" s="4" t="s">
        <v>221</v>
      </c>
      <c r="AO100" s="4"/>
      <c r="AP100" s="4" t="s">
        <v>222</v>
      </c>
      <c r="AQ100" s="4"/>
      <c r="AR100" s="4" t="s">
        <v>223</v>
      </c>
      <c r="AS100" s="4"/>
      <c r="AU100" s="4"/>
      <c r="AV100" s="4" t="s">
        <v>221</v>
      </c>
      <c r="AW100" s="4"/>
      <c r="AX100" s="4" t="s">
        <v>222</v>
      </c>
      <c r="AY100" s="4"/>
      <c r="AZ100" s="4" t="s">
        <v>223</v>
      </c>
      <c r="BA100" s="4"/>
      <c r="BC100" s="4"/>
      <c r="BD100" s="4" t="s">
        <v>221</v>
      </c>
      <c r="BE100" s="4"/>
      <c r="BF100" s="4" t="s">
        <v>222</v>
      </c>
      <c r="BG100" s="4"/>
      <c r="BH100" s="4" t="s">
        <v>223</v>
      </c>
      <c r="BI100" s="4"/>
      <c r="BK100" s="4"/>
      <c r="BL100" s="4" t="s">
        <v>221</v>
      </c>
      <c r="BM100" s="4"/>
      <c r="BN100" s="4" t="s">
        <v>222</v>
      </c>
      <c r="BO100" s="4"/>
      <c r="BP100" s="4" t="s">
        <v>223</v>
      </c>
      <c r="BQ100" s="4"/>
    </row>
    <row r="101" spans="2:69" x14ac:dyDescent="0.3">
      <c r="G101" s="4" t="s">
        <v>85</v>
      </c>
      <c r="H101" s="4" t="s">
        <v>219</v>
      </c>
      <c r="I101" s="4" t="s">
        <v>220</v>
      </c>
      <c r="J101" s="4" t="s">
        <v>219</v>
      </c>
      <c r="K101" s="4" t="s">
        <v>220</v>
      </c>
      <c r="L101" s="4" t="s">
        <v>219</v>
      </c>
      <c r="M101" s="4" t="s">
        <v>220</v>
      </c>
      <c r="O101" s="4" t="s">
        <v>85</v>
      </c>
      <c r="P101" s="4" t="s">
        <v>219</v>
      </c>
      <c r="Q101" s="4" t="s">
        <v>220</v>
      </c>
      <c r="R101" s="4" t="s">
        <v>219</v>
      </c>
      <c r="S101" s="4" t="s">
        <v>220</v>
      </c>
      <c r="T101" s="4" t="s">
        <v>219</v>
      </c>
      <c r="U101" s="4" t="s">
        <v>220</v>
      </c>
      <c r="W101" s="4" t="s">
        <v>85</v>
      </c>
      <c r="X101" s="4" t="s">
        <v>219</v>
      </c>
      <c r="Y101" s="4" t="s">
        <v>220</v>
      </c>
      <c r="Z101" s="4" t="s">
        <v>219</v>
      </c>
      <c r="AA101" s="4" t="s">
        <v>220</v>
      </c>
      <c r="AB101" s="4" t="s">
        <v>219</v>
      </c>
      <c r="AC101" s="4" t="s">
        <v>220</v>
      </c>
      <c r="AE101" s="4" t="s">
        <v>85</v>
      </c>
      <c r="AF101" s="4" t="s">
        <v>219</v>
      </c>
      <c r="AG101" s="4" t="s">
        <v>220</v>
      </c>
      <c r="AH101" s="4" t="s">
        <v>219</v>
      </c>
      <c r="AI101" s="4" t="s">
        <v>220</v>
      </c>
      <c r="AJ101" s="4" t="s">
        <v>219</v>
      </c>
      <c r="AK101" s="4" t="s">
        <v>220</v>
      </c>
      <c r="AM101" s="4" t="s">
        <v>85</v>
      </c>
      <c r="AN101" s="4" t="s">
        <v>219</v>
      </c>
      <c r="AO101" s="4" t="s">
        <v>220</v>
      </c>
      <c r="AP101" s="4" t="s">
        <v>219</v>
      </c>
      <c r="AQ101" s="4" t="s">
        <v>220</v>
      </c>
      <c r="AR101" s="4" t="s">
        <v>219</v>
      </c>
      <c r="AS101" s="4" t="s">
        <v>220</v>
      </c>
      <c r="AU101" s="4" t="s">
        <v>85</v>
      </c>
      <c r="AV101" s="4" t="s">
        <v>219</v>
      </c>
      <c r="AW101" s="4" t="s">
        <v>220</v>
      </c>
      <c r="AX101" s="4" t="s">
        <v>219</v>
      </c>
      <c r="AY101" s="4" t="s">
        <v>220</v>
      </c>
      <c r="AZ101" s="4" t="s">
        <v>219</v>
      </c>
      <c r="BA101" s="4" t="s">
        <v>220</v>
      </c>
      <c r="BC101" s="4" t="s">
        <v>85</v>
      </c>
      <c r="BD101" s="4" t="s">
        <v>219</v>
      </c>
      <c r="BE101" s="4" t="s">
        <v>220</v>
      </c>
      <c r="BF101" s="4" t="s">
        <v>219</v>
      </c>
      <c r="BG101" s="4" t="s">
        <v>220</v>
      </c>
      <c r="BH101" s="4" t="s">
        <v>219</v>
      </c>
      <c r="BI101" s="4" t="s">
        <v>220</v>
      </c>
      <c r="BK101" s="4" t="s">
        <v>85</v>
      </c>
      <c r="BL101" s="4" t="s">
        <v>219</v>
      </c>
      <c r="BM101" s="4" t="s">
        <v>220</v>
      </c>
      <c r="BN101" s="4" t="s">
        <v>219</v>
      </c>
      <c r="BO101" s="4" t="s">
        <v>220</v>
      </c>
      <c r="BP101" s="4" t="s">
        <v>219</v>
      </c>
      <c r="BQ101" s="4" t="s">
        <v>220</v>
      </c>
    </row>
    <row r="102" spans="2:69" x14ac:dyDescent="0.3">
      <c r="G102" s="4" t="s">
        <v>71</v>
      </c>
      <c r="H102" s="6">
        <v>0.59</v>
      </c>
      <c r="I102" s="6">
        <v>0.98</v>
      </c>
      <c r="J102" s="6">
        <v>0.6</v>
      </c>
      <c r="K102" s="6">
        <v>0.97</v>
      </c>
      <c r="L102" s="6">
        <v>0.19</v>
      </c>
      <c r="M102" s="6">
        <v>0.94</v>
      </c>
      <c r="O102" s="4" t="s">
        <v>71</v>
      </c>
      <c r="P102" s="6">
        <v>0.3</v>
      </c>
      <c r="Q102" s="6">
        <v>0.77</v>
      </c>
      <c r="R102" s="6">
        <v>0.93</v>
      </c>
      <c r="S102" s="6">
        <v>1</v>
      </c>
      <c r="T102" s="6">
        <v>0.24</v>
      </c>
      <c r="U102" s="6">
        <v>0.77</v>
      </c>
      <c r="W102" s="4" t="s">
        <v>71</v>
      </c>
      <c r="X102" s="6">
        <v>0.96</v>
      </c>
      <c r="Y102" s="6">
        <v>1</v>
      </c>
      <c r="Z102" s="6">
        <v>0.3</v>
      </c>
      <c r="AA102" s="6">
        <v>0.8</v>
      </c>
      <c r="AB102" s="6">
        <v>0.25</v>
      </c>
      <c r="AC102" s="6">
        <v>0.8</v>
      </c>
      <c r="AE102" s="4" t="s">
        <v>71</v>
      </c>
      <c r="AF102" s="6">
        <v>0.49</v>
      </c>
      <c r="AG102" s="6">
        <v>0.6</v>
      </c>
      <c r="AH102" s="6">
        <v>1</v>
      </c>
      <c r="AI102" s="6">
        <v>1</v>
      </c>
      <c r="AJ102" s="6">
        <v>0.49</v>
      </c>
      <c r="AK102" s="6">
        <v>0.6</v>
      </c>
      <c r="AM102" s="4" t="s">
        <v>71</v>
      </c>
      <c r="AN102" s="6">
        <v>1</v>
      </c>
      <c r="AO102" s="6">
        <v>1</v>
      </c>
      <c r="AP102" s="6">
        <v>0.55000000000000004</v>
      </c>
      <c r="AQ102" s="6">
        <v>0.62</v>
      </c>
      <c r="AR102" s="6">
        <v>0.55000000000000004</v>
      </c>
      <c r="AS102" s="6">
        <v>0.62</v>
      </c>
      <c r="AU102" s="4" t="s">
        <v>71</v>
      </c>
      <c r="AV102" s="6">
        <v>0.97</v>
      </c>
      <c r="AW102" s="6">
        <v>0.97</v>
      </c>
      <c r="AX102" s="6">
        <v>1</v>
      </c>
      <c r="AY102" s="6">
        <v>1</v>
      </c>
      <c r="AZ102" s="6">
        <v>0.97</v>
      </c>
      <c r="BA102" s="6">
        <v>0.97</v>
      </c>
      <c r="BC102" s="4" t="s">
        <v>71</v>
      </c>
      <c r="BD102" s="6">
        <v>1</v>
      </c>
      <c r="BE102" s="6">
        <v>1</v>
      </c>
      <c r="BF102" s="6">
        <v>1</v>
      </c>
      <c r="BG102" s="6">
        <v>1</v>
      </c>
      <c r="BH102" s="6">
        <v>1</v>
      </c>
      <c r="BI102" s="6">
        <v>1</v>
      </c>
      <c r="BK102" s="4" t="s">
        <v>71</v>
      </c>
      <c r="BL102" s="6">
        <v>1</v>
      </c>
      <c r="BM102" s="6">
        <v>1</v>
      </c>
      <c r="BN102" s="6">
        <v>1</v>
      </c>
      <c r="BO102" s="6">
        <v>1</v>
      </c>
      <c r="BP102" s="6">
        <v>1</v>
      </c>
      <c r="BQ102" s="6">
        <v>1</v>
      </c>
    </row>
    <row r="103" spans="2:69" x14ac:dyDescent="0.3">
      <c r="G103" s="4" t="s">
        <v>73</v>
      </c>
      <c r="H103" s="6">
        <v>0.6</v>
      </c>
      <c r="I103" s="6">
        <v>0.92</v>
      </c>
      <c r="J103" s="6">
        <v>0.7</v>
      </c>
      <c r="K103" s="6">
        <v>0.95</v>
      </c>
      <c r="L103" s="6">
        <v>0.3</v>
      </c>
      <c r="M103" s="6">
        <v>0.88</v>
      </c>
      <c r="O103" s="4" t="s">
        <v>73</v>
      </c>
      <c r="P103" s="6">
        <v>0.49</v>
      </c>
      <c r="Q103" s="6">
        <v>0.83</v>
      </c>
      <c r="R103" s="6">
        <v>0.89</v>
      </c>
      <c r="S103" s="6">
        <v>1</v>
      </c>
      <c r="T103" s="6">
        <v>0.38</v>
      </c>
      <c r="U103" s="6">
        <v>0.83</v>
      </c>
      <c r="W103" s="4" t="s">
        <v>73</v>
      </c>
      <c r="X103" s="6">
        <v>0.84</v>
      </c>
      <c r="Y103" s="6">
        <v>1</v>
      </c>
      <c r="Z103" s="6">
        <v>0.51</v>
      </c>
      <c r="AA103" s="6">
        <v>0.89</v>
      </c>
      <c r="AB103" s="6">
        <v>0.35</v>
      </c>
      <c r="AC103" s="6">
        <v>0.89</v>
      </c>
      <c r="AE103" s="4" t="s">
        <v>73</v>
      </c>
      <c r="AF103" s="6">
        <v>0.61</v>
      </c>
      <c r="AG103" s="6">
        <v>0.76</v>
      </c>
      <c r="AH103" s="6">
        <v>1</v>
      </c>
      <c r="AI103" s="6">
        <v>1</v>
      </c>
      <c r="AJ103" s="6">
        <v>0.61</v>
      </c>
      <c r="AK103" s="6">
        <v>0.76</v>
      </c>
      <c r="AM103" s="4" t="s">
        <v>73</v>
      </c>
      <c r="AN103" s="6">
        <v>1</v>
      </c>
      <c r="AO103" s="6">
        <v>1</v>
      </c>
      <c r="AP103" s="6">
        <v>0.54</v>
      </c>
      <c r="AQ103" s="6">
        <v>0.75</v>
      </c>
      <c r="AR103" s="6">
        <v>0.54</v>
      </c>
      <c r="AS103" s="6">
        <v>0.75</v>
      </c>
      <c r="AU103" s="4" t="s">
        <v>73</v>
      </c>
      <c r="AV103" s="6">
        <v>0.94</v>
      </c>
      <c r="AW103" s="6">
        <v>0.94</v>
      </c>
      <c r="AX103" s="6">
        <v>1</v>
      </c>
      <c r="AY103" s="6">
        <v>1</v>
      </c>
      <c r="AZ103" s="6">
        <v>0.94</v>
      </c>
      <c r="BA103" s="6">
        <v>0.94</v>
      </c>
      <c r="BC103" s="4" t="s">
        <v>73</v>
      </c>
      <c r="BD103" s="6">
        <v>1</v>
      </c>
      <c r="BE103" s="6">
        <v>1</v>
      </c>
      <c r="BF103" s="6">
        <v>0.91</v>
      </c>
      <c r="BG103" s="6">
        <v>0.91</v>
      </c>
      <c r="BH103" s="6">
        <v>0.91</v>
      </c>
      <c r="BI103" s="6">
        <v>0.91</v>
      </c>
      <c r="BK103" s="4" t="s">
        <v>73</v>
      </c>
      <c r="BL103" s="6">
        <v>1</v>
      </c>
      <c r="BM103" s="6">
        <v>1</v>
      </c>
      <c r="BN103" s="6">
        <v>1</v>
      </c>
      <c r="BO103" s="6">
        <v>1</v>
      </c>
      <c r="BP103" s="6">
        <v>1</v>
      </c>
      <c r="BQ103" s="6">
        <v>1</v>
      </c>
    </row>
    <row r="104" spans="2:69" x14ac:dyDescent="0.3">
      <c r="G104" s="4" t="s">
        <v>74</v>
      </c>
      <c r="H104" s="6">
        <v>0.64</v>
      </c>
      <c r="I104" s="6">
        <v>0.91</v>
      </c>
      <c r="J104" s="6">
        <v>0.7</v>
      </c>
      <c r="K104" s="6">
        <v>0.92</v>
      </c>
      <c r="L104" s="6">
        <v>0.35</v>
      </c>
      <c r="M104" s="6">
        <v>0.82</v>
      </c>
      <c r="O104" s="4" t="s">
        <v>74</v>
      </c>
      <c r="P104" s="6">
        <v>0.62</v>
      </c>
      <c r="Q104" s="6">
        <v>0.87</v>
      </c>
      <c r="R104" s="6">
        <v>0.79</v>
      </c>
      <c r="S104" s="6">
        <v>1</v>
      </c>
      <c r="T104" s="6">
        <v>0.41</v>
      </c>
      <c r="U104" s="6">
        <v>0.87</v>
      </c>
      <c r="W104" s="4" t="s">
        <v>74</v>
      </c>
      <c r="X104" s="6">
        <v>0.77</v>
      </c>
      <c r="Y104" s="6">
        <v>1</v>
      </c>
      <c r="Z104" s="6">
        <v>0.61</v>
      </c>
      <c r="AA104" s="6">
        <v>0.91</v>
      </c>
      <c r="AB104" s="6">
        <v>0.38</v>
      </c>
      <c r="AC104" s="6">
        <v>0.91</v>
      </c>
      <c r="AE104" s="4" t="s">
        <v>74</v>
      </c>
      <c r="AF104" s="6">
        <v>0.56999999999999995</v>
      </c>
      <c r="AG104" s="6">
        <v>0.84</v>
      </c>
      <c r="AH104" s="6">
        <v>1</v>
      </c>
      <c r="AI104" s="6">
        <v>1</v>
      </c>
      <c r="AJ104" s="6">
        <v>0.56999999999999995</v>
      </c>
      <c r="AK104" s="6">
        <v>0.84</v>
      </c>
      <c r="AM104" s="4" t="s">
        <v>74</v>
      </c>
      <c r="AN104" s="6">
        <v>1</v>
      </c>
      <c r="AO104" s="6">
        <v>1</v>
      </c>
      <c r="AP104" s="6">
        <v>0.53</v>
      </c>
      <c r="AQ104" s="6">
        <v>0.83</v>
      </c>
      <c r="AR104" s="6">
        <v>0.53</v>
      </c>
      <c r="AS104" s="6">
        <v>0.83</v>
      </c>
      <c r="AU104" s="4" t="s">
        <v>74</v>
      </c>
      <c r="AV104" s="6">
        <v>0.85</v>
      </c>
      <c r="AW104" s="6">
        <v>0.85</v>
      </c>
      <c r="AX104" s="6">
        <v>1</v>
      </c>
      <c r="AY104" s="6">
        <v>1</v>
      </c>
      <c r="AZ104" s="6">
        <v>0.85</v>
      </c>
      <c r="BA104" s="6">
        <v>0.85</v>
      </c>
      <c r="BC104" s="4" t="s">
        <v>74</v>
      </c>
      <c r="BD104" s="6">
        <v>1</v>
      </c>
      <c r="BE104" s="6">
        <v>1</v>
      </c>
      <c r="BF104" s="6">
        <v>0.82</v>
      </c>
      <c r="BG104" s="6">
        <v>0.83</v>
      </c>
      <c r="BH104" s="6">
        <v>0.82</v>
      </c>
      <c r="BI104" s="6">
        <v>0.83</v>
      </c>
      <c r="BK104" s="4" t="s">
        <v>74</v>
      </c>
      <c r="BL104" s="6">
        <v>1</v>
      </c>
      <c r="BM104" s="6">
        <v>1</v>
      </c>
      <c r="BN104" s="6">
        <v>1</v>
      </c>
      <c r="BO104" s="6">
        <v>1</v>
      </c>
      <c r="BP104" s="6">
        <v>1</v>
      </c>
      <c r="BQ104" s="6">
        <v>1</v>
      </c>
    </row>
    <row r="105" spans="2:69" x14ac:dyDescent="0.3">
      <c r="G105" s="4" t="s">
        <v>75</v>
      </c>
      <c r="H105" s="6">
        <v>0.66</v>
      </c>
      <c r="I105" s="6">
        <v>0.92</v>
      </c>
      <c r="J105" s="6">
        <v>0.7</v>
      </c>
      <c r="K105" s="6">
        <v>0.88</v>
      </c>
      <c r="L105" s="6">
        <v>0.36</v>
      </c>
      <c r="M105" s="6">
        <v>0.8</v>
      </c>
      <c r="O105" s="4" t="s">
        <v>75</v>
      </c>
      <c r="P105" s="6">
        <v>0.71</v>
      </c>
      <c r="Q105" s="6">
        <v>0.9</v>
      </c>
      <c r="R105" s="6">
        <v>0.65</v>
      </c>
      <c r="S105" s="6">
        <v>0.94</v>
      </c>
      <c r="T105" s="6">
        <v>0.36</v>
      </c>
      <c r="U105" s="6">
        <v>0.84</v>
      </c>
      <c r="W105" s="4" t="s">
        <v>75</v>
      </c>
      <c r="X105" s="6">
        <v>0.75</v>
      </c>
      <c r="Y105" s="6">
        <v>0.99</v>
      </c>
      <c r="Z105" s="6">
        <v>0.64</v>
      </c>
      <c r="AA105" s="6">
        <v>0.93</v>
      </c>
      <c r="AB105" s="6">
        <v>0.39</v>
      </c>
      <c r="AC105" s="6">
        <v>0.92</v>
      </c>
      <c r="AE105" s="4" t="s">
        <v>75</v>
      </c>
      <c r="AF105" s="6">
        <v>0.54</v>
      </c>
      <c r="AG105" s="6">
        <v>0.89</v>
      </c>
      <c r="AH105" s="6">
        <v>0.89</v>
      </c>
      <c r="AI105" s="6">
        <v>1</v>
      </c>
      <c r="AJ105" s="6">
        <v>0.43</v>
      </c>
      <c r="AK105" s="6">
        <v>0.89</v>
      </c>
      <c r="AM105" s="4" t="s">
        <v>75</v>
      </c>
      <c r="AN105" s="6">
        <v>0.98</v>
      </c>
      <c r="AO105" s="6">
        <v>1</v>
      </c>
      <c r="AP105" s="6">
        <v>0.52</v>
      </c>
      <c r="AQ105" s="6">
        <v>0.84</v>
      </c>
      <c r="AR105" s="6">
        <v>0.5</v>
      </c>
      <c r="AS105" s="6">
        <v>0.84</v>
      </c>
      <c r="AU105" s="4" t="s">
        <v>75</v>
      </c>
      <c r="AV105" s="6">
        <v>0.66</v>
      </c>
      <c r="AW105" s="6">
        <v>0.78</v>
      </c>
      <c r="AX105" s="6">
        <v>1</v>
      </c>
      <c r="AY105" s="6">
        <v>1</v>
      </c>
      <c r="AZ105" s="6">
        <v>0.66</v>
      </c>
      <c r="BA105" s="6">
        <v>0.78</v>
      </c>
      <c r="BC105" s="4" t="s">
        <v>75</v>
      </c>
      <c r="BD105" s="6">
        <v>1</v>
      </c>
      <c r="BE105" s="6">
        <v>1</v>
      </c>
      <c r="BF105" s="6">
        <v>0.75</v>
      </c>
      <c r="BG105" s="6">
        <v>0.78</v>
      </c>
      <c r="BH105" s="6">
        <v>0.75</v>
      </c>
      <c r="BI105" s="6">
        <v>0.78</v>
      </c>
      <c r="BK105" s="4" t="s">
        <v>75</v>
      </c>
      <c r="BL105" s="6">
        <v>0.98</v>
      </c>
      <c r="BM105" s="6">
        <v>0.98</v>
      </c>
      <c r="BN105" s="6">
        <v>0.99</v>
      </c>
      <c r="BO105" s="6">
        <v>0.99</v>
      </c>
      <c r="BP105" s="6">
        <v>0.97</v>
      </c>
      <c r="BQ105" s="6">
        <v>0.97</v>
      </c>
    </row>
    <row r="106" spans="2:69" x14ac:dyDescent="0.3">
      <c r="G106" s="4" t="s">
        <v>76</v>
      </c>
      <c r="H106" s="6">
        <v>0.7</v>
      </c>
      <c r="I106" s="6">
        <v>0.92</v>
      </c>
      <c r="J106" s="6">
        <v>0.76</v>
      </c>
      <c r="K106" s="6">
        <v>0.92</v>
      </c>
      <c r="L106" s="6">
        <v>0.46</v>
      </c>
      <c r="M106" s="6">
        <v>0.84</v>
      </c>
      <c r="O106" s="4" t="s">
        <v>76</v>
      </c>
      <c r="P106" s="6">
        <v>0.74</v>
      </c>
      <c r="Q106" s="6">
        <v>0.92</v>
      </c>
      <c r="R106" s="6">
        <v>0.7</v>
      </c>
      <c r="S106" s="6">
        <v>0.93</v>
      </c>
      <c r="T106" s="6">
        <v>0.44</v>
      </c>
      <c r="U106" s="6">
        <v>0.85</v>
      </c>
      <c r="W106" s="4" t="s">
        <v>76</v>
      </c>
      <c r="X106" s="6">
        <v>0.75</v>
      </c>
      <c r="Y106" s="6">
        <v>0.95</v>
      </c>
      <c r="Z106" s="6">
        <v>0.73</v>
      </c>
      <c r="AA106" s="6">
        <v>0.96</v>
      </c>
      <c r="AB106" s="6">
        <v>0.47</v>
      </c>
      <c r="AC106" s="6">
        <v>0.91</v>
      </c>
      <c r="AE106" s="4" t="s">
        <v>76</v>
      </c>
      <c r="AF106" s="6">
        <v>0.61</v>
      </c>
      <c r="AG106" s="6">
        <v>0.89</v>
      </c>
      <c r="AH106" s="6">
        <v>0.86</v>
      </c>
      <c r="AI106" s="6">
        <v>1</v>
      </c>
      <c r="AJ106" s="6">
        <v>0.47</v>
      </c>
      <c r="AK106" s="6">
        <v>0.89</v>
      </c>
      <c r="AM106" s="4" t="s">
        <v>76</v>
      </c>
      <c r="AN106" s="6">
        <v>0.9</v>
      </c>
      <c r="AO106" s="6">
        <v>1</v>
      </c>
      <c r="AP106" s="6">
        <v>0.65</v>
      </c>
      <c r="AQ106" s="6">
        <v>0.88</v>
      </c>
      <c r="AR106" s="6">
        <v>0.54</v>
      </c>
      <c r="AS106" s="6">
        <v>0.88</v>
      </c>
      <c r="AU106" s="4" t="s">
        <v>76</v>
      </c>
      <c r="AV106" s="6">
        <v>0.65</v>
      </c>
      <c r="AW106" s="6">
        <v>0.81</v>
      </c>
      <c r="AX106" s="6">
        <v>1</v>
      </c>
      <c r="AY106" s="6">
        <v>1</v>
      </c>
      <c r="AZ106" s="6">
        <v>0.65</v>
      </c>
      <c r="BA106" s="6">
        <v>0.81</v>
      </c>
      <c r="BC106" s="4" t="s">
        <v>76</v>
      </c>
      <c r="BD106" s="6">
        <v>1</v>
      </c>
      <c r="BE106" s="6">
        <v>1</v>
      </c>
      <c r="BF106" s="6">
        <v>0.74</v>
      </c>
      <c r="BG106" s="6">
        <v>0.86</v>
      </c>
      <c r="BH106" s="6">
        <v>0.74</v>
      </c>
      <c r="BI106" s="6">
        <v>0.86</v>
      </c>
      <c r="BK106" s="4" t="s">
        <v>76</v>
      </c>
      <c r="BL106" s="6">
        <v>0.94</v>
      </c>
      <c r="BM106" s="6">
        <v>0.94</v>
      </c>
      <c r="BN106" s="6">
        <v>0.97</v>
      </c>
      <c r="BO106" s="6">
        <v>0.97</v>
      </c>
      <c r="BP106" s="6">
        <v>0.91</v>
      </c>
      <c r="BQ106" s="6">
        <v>0.91</v>
      </c>
    </row>
    <row r="107" spans="2:69" x14ac:dyDescent="0.3">
      <c r="G107" s="4" t="s">
        <v>77</v>
      </c>
      <c r="H107" s="6">
        <v>0.78</v>
      </c>
      <c r="I107" s="6">
        <v>0.91</v>
      </c>
      <c r="J107" s="6">
        <v>0.78</v>
      </c>
      <c r="K107" s="6">
        <v>0.93</v>
      </c>
      <c r="L107" s="6">
        <v>0.56000000000000005</v>
      </c>
      <c r="M107" s="6">
        <v>0.84</v>
      </c>
      <c r="O107" s="4" t="s">
        <v>77</v>
      </c>
      <c r="P107" s="6">
        <v>0.79</v>
      </c>
      <c r="Q107" s="6">
        <v>0.95</v>
      </c>
      <c r="R107" s="6">
        <v>0.7</v>
      </c>
      <c r="S107" s="6">
        <v>0.87</v>
      </c>
      <c r="T107" s="6">
        <v>0.49</v>
      </c>
      <c r="U107" s="6">
        <v>0.82</v>
      </c>
      <c r="W107" s="4" t="s">
        <v>77</v>
      </c>
      <c r="X107" s="6">
        <v>0.67</v>
      </c>
      <c r="Y107" s="6">
        <v>0.89</v>
      </c>
      <c r="Z107" s="6">
        <v>0.86</v>
      </c>
      <c r="AA107" s="6">
        <v>0.97</v>
      </c>
      <c r="AB107" s="6">
        <v>0.53</v>
      </c>
      <c r="AC107" s="6">
        <v>0.86</v>
      </c>
      <c r="AE107" s="4" t="s">
        <v>77</v>
      </c>
      <c r="AF107" s="6">
        <v>0.72</v>
      </c>
      <c r="AG107" s="6">
        <v>0.91</v>
      </c>
      <c r="AH107" s="6">
        <v>0.77</v>
      </c>
      <c r="AI107" s="6">
        <v>1</v>
      </c>
      <c r="AJ107" s="6">
        <v>0.49</v>
      </c>
      <c r="AK107" s="6">
        <v>0.91</v>
      </c>
      <c r="AM107" s="4" t="s">
        <v>77</v>
      </c>
      <c r="AN107" s="6">
        <v>0.8</v>
      </c>
      <c r="AO107" s="6">
        <v>1</v>
      </c>
      <c r="AP107" s="6">
        <v>0.73</v>
      </c>
      <c r="AQ107" s="6">
        <v>0.96</v>
      </c>
      <c r="AR107" s="6">
        <v>0.53</v>
      </c>
      <c r="AS107" s="6">
        <v>0.96</v>
      </c>
      <c r="AU107" s="4" t="s">
        <v>77</v>
      </c>
      <c r="AV107" s="6">
        <v>0.63</v>
      </c>
      <c r="AW107" s="6">
        <v>0.88</v>
      </c>
      <c r="AX107" s="6">
        <v>1</v>
      </c>
      <c r="AY107" s="6">
        <v>1</v>
      </c>
      <c r="AZ107" s="6">
        <v>0.63</v>
      </c>
      <c r="BA107" s="6">
        <v>0.88</v>
      </c>
      <c r="BC107" s="4" t="s">
        <v>77</v>
      </c>
      <c r="BD107" s="6">
        <v>1</v>
      </c>
      <c r="BE107" s="6">
        <v>1</v>
      </c>
      <c r="BF107" s="6">
        <v>0.66</v>
      </c>
      <c r="BG107" s="6">
        <v>0.87</v>
      </c>
      <c r="BH107" s="6">
        <v>0.66</v>
      </c>
      <c r="BI107" s="6">
        <v>0.87</v>
      </c>
      <c r="BK107" s="4" t="s">
        <v>77</v>
      </c>
      <c r="BL107" s="6">
        <v>0.92</v>
      </c>
      <c r="BM107" s="6">
        <v>0.92</v>
      </c>
      <c r="BN107" s="6">
        <v>0.93</v>
      </c>
      <c r="BO107" s="6">
        <v>0.93</v>
      </c>
      <c r="BP107" s="6">
        <v>0.84</v>
      </c>
      <c r="BQ107" s="6">
        <v>0.84</v>
      </c>
    </row>
    <row r="108" spans="2:69" x14ac:dyDescent="0.3">
      <c r="G108" s="4" t="s">
        <v>78</v>
      </c>
      <c r="H108" s="6">
        <v>0.75</v>
      </c>
      <c r="I108" s="6">
        <v>0.9</v>
      </c>
      <c r="J108" s="6">
        <v>0.8</v>
      </c>
      <c r="K108" s="6">
        <v>0.93</v>
      </c>
      <c r="L108" s="6">
        <v>0.56000000000000005</v>
      </c>
      <c r="M108" s="6">
        <v>0.83</v>
      </c>
      <c r="O108" s="4" t="s">
        <v>78</v>
      </c>
      <c r="P108" s="6">
        <v>0.8</v>
      </c>
      <c r="Q108" s="6">
        <v>0.94</v>
      </c>
      <c r="R108" s="6">
        <v>0.73</v>
      </c>
      <c r="S108" s="6">
        <v>0.93</v>
      </c>
      <c r="T108" s="6">
        <v>0.53</v>
      </c>
      <c r="U108" s="6">
        <v>0.87</v>
      </c>
      <c r="W108" s="4" t="s">
        <v>78</v>
      </c>
      <c r="X108" s="6">
        <v>0.67</v>
      </c>
      <c r="Y108" s="6">
        <v>0.92</v>
      </c>
      <c r="Z108" s="6">
        <v>0.84</v>
      </c>
      <c r="AA108" s="6">
        <v>0.97</v>
      </c>
      <c r="AB108" s="6">
        <v>0.51</v>
      </c>
      <c r="AC108" s="6">
        <v>0.89</v>
      </c>
      <c r="AE108" s="4" t="s">
        <v>78</v>
      </c>
      <c r="AF108" s="6">
        <v>0.69</v>
      </c>
      <c r="AG108" s="6">
        <v>0.92</v>
      </c>
      <c r="AH108" s="6">
        <v>0.86</v>
      </c>
      <c r="AI108" s="6">
        <v>1</v>
      </c>
      <c r="AJ108" s="6">
        <v>0.55000000000000004</v>
      </c>
      <c r="AK108" s="6">
        <v>0.92</v>
      </c>
      <c r="AM108" s="4" t="s">
        <v>78</v>
      </c>
      <c r="AN108" s="6">
        <v>0.85</v>
      </c>
      <c r="AO108" s="6">
        <v>1</v>
      </c>
      <c r="AP108" s="6">
        <v>0.68</v>
      </c>
      <c r="AQ108" s="6">
        <v>0.95</v>
      </c>
      <c r="AR108" s="6">
        <v>0.54</v>
      </c>
      <c r="AS108" s="6">
        <v>0.95</v>
      </c>
      <c r="AU108" s="4" t="s">
        <v>78</v>
      </c>
      <c r="AV108" s="6">
        <v>0.69</v>
      </c>
      <c r="AW108" s="6">
        <v>0.85</v>
      </c>
      <c r="AX108" s="6">
        <v>1</v>
      </c>
      <c r="AY108" s="6">
        <v>1</v>
      </c>
      <c r="AZ108" s="6">
        <v>0.69</v>
      </c>
      <c r="BA108" s="6">
        <v>0.85</v>
      </c>
      <c r="BC108" s="4" t="s">
        <v>78</v>
      </c>
      <c r="BD108" s="6">
        <v>1</v>
      </c>
      <c r="BE108" s="6">
        <v>1</v>
      </c>
      <c r="BF108" s="6">
        <v>0.69</v>
      </c>
      <c r="BG108" s="6">
        <v>0.85</v>
      </c>
      <c r="BH108" s="6">
        <v>0.69</v>
      </c>
      <c r="BI108" s="6">
        <v>0.85</v>
      </c>
      <c r="BK108" s="4" t="s">
        <v>78</v>
      </c>
      <c r="BL108" s="6">
        <v>0.94</v>
      </c>
      <c r="BM108" s="6">
        <v>0.94</v>
      </c>
      <c r="BN108" s="6">
        <v>0.95</v>
      </c>
      <c r="BO108" s="6">
        <v>0.95</v>
      </c>
      <c r="BP108" s="6">
        <v>0.89</v>
      </c>
      <c r="BQ108" s="6">
        <v>0.89</v>
      </c>
    </row>
    <row r="109" spans="2:69" x14ac:dyDescent="0.3">
      <c r="G109" s="4" t="s">
        <v>79</v>
      </c>
      <c r="H109" s="6">
        <v>0.7</v>
      </c>
      <c r="I109" s="6">
        <v>0.92</v>
      </c>
      <c r="J109" s="6">
        <v>0.72</v>
      </c>
      <c r="K109" s="6">
        <v>0.9</v>
      </c>
      <c r="L109" s="6">
        <v>0.42</v>
      </c>
      <c r="M109" s="6">
        <v>0.82</v>
      </c>
      <c r="O109" s="4" t="s">
        <v>79</v>
      </c>
      <c r="P109" s="6">
        <v>0.73</v>
      </c>
      <c r="Q109" s="6">
        <v>0.92</v>
      </c>
      <c r="R109" s="6">
        <v>0.68</v>
      </c>
      <c r="S109" s="6">
        <v>0.95</v>
      </c>
      <c r="T109" s="6">
        <v>0.4</v>
      </c>
      <c r="U109" s="6">
        <v>0.86</v>
      </c>
      <c r="W109" s="4" t="s">
        <v>79</v>
      </c>
      <c r="X109" s="6">
        <v>0.77</v>
      </c>
      <c r="Y109" s="6">
        <v>0.98</v>
      </c>
      <c r="Z109" s="6">
        <v>0.69</v>
      </c>
      <c r="AA109" s="6">
        <v>0.94</v>
      </c>
      <c r="AB109" s="6">
        <v>0.46</v>
      </c>
      <c r="AC109" s="6">
        <v>0.92</v>
      </c>
      <c r="AE109" s="4" t="s">
        <v>79</v>
      </c>
      <c r="AF109" s="6">
        <v>0.56999999999999995</v>
      </c>
      <c r="AG109" s="6">
        <v>0.89</v>
      </c>
      <c r="AH109" s="6">
        <v>0.9</v>
      </c>
      <c r="AI109" s="6">
        <v>1</v>
      </c>
      <c r="AJ109" s="6">
        <v>0.46</v>
      </c>
      <c r="AK109" s="6">
        <v>0.89</v>
      </c>
      <c r="AM109" s="4" t="s">
        <v>79</v>
      </c>
      <c r="AN109" s="6">
        <v>0.97</v>
      </c>
      <c r="AO109" s="6">
        <v>1</v>
      </c>
      <c r="AP109" s="6">
        <v>0.6</v>
      </c>
      <c r="AQ109" s="6">
        <v>0.87</v>
      </c>
      <c r="AR109" s="6">
        <v>0.56999999999999995</v>
      </c>
      <c r="AS109" s="6">
        <v>0.87</v>
      </c>
      <c r="AU109" s="4" t="s">
        <v>79</v>
      </c>
      <c r="AV109" s="6">
        <v>0.66</v>
      </c>
      <c r="AW109" s="6">
        <v>0.78</v>
      </c>
      <c r="AX109" s="6">
        <v>1</v>
      </c>
      <c r="AY109" s="6">
        <v>1</v>
      </c>
      <c r="AZ109" s="6">
        <v>0.66</v>
      </c>
      <c r="BA109" s="6">
        <v>0.78</v>
      </c>
      <c r="BC109" s="4" t="s">
        <v>79</v>
      </c>
      <c r="BD109" s="6">
        <v>1</v>
      </c>
      <c r="BE109" s="6">
        <v>1</v>
      </c>
      <c r="BF109" s="6">
        <v>0.8</v>
      </c>
      <c r="BG109" s="6">
        <v>0.83</v>
      </c>
      <c r="BH109" s="6">
        <v>0.8</v>
      </c>
      <c r="BI109" s="6">
        <v>0.83</v>
      </c>
      <c r="BK109" s="4" t="s">
        <v>79</v>
      </c>
      <c r="BL109" s="6">
        <v>0.96</v>
      </c>
      <c r="BM109" s="6">
        <v>0.96</v>
      </c>
      <c r="BN109" s="6">
        <v>0.99</v>
      </c>
      <c r="BO109" s="6">
        <v>0.99</v>
      </c>
      <c r="BP109" s="6">
        <v>0.96</v>
      </c>
      <c r="BQ109" s="6">
        <v>0.96</v>
      </c>
    </row>
    <row r="110" spans="2:69" x14ac:dyDescent="0.3">
      <c r="G110" s="4" t="s">
        <v>80</v>
      </c>
      <c r="H110" s="6">
        <v>0.63</v>
      </c>
      <c r="I110" s="6">
        <v>0.9</v>
      </c>
      <c r="J110" s="6">
        <v>0.71</v>
      </c>
      <c r="K110" s="6">
        <v>0.9</v>
      </c>
      <c r="L110" s="6">
        <v>0.34</v>
      </c>
      <c r="M110" s="6">
        <v>0.8</v>
      </c>
      <c r="O110" s="4" t="s">
        <v>80</v>
      </c>
      <c r="P110" s="6">
        <v>0.65</v>
      </c>
      <c r="Q110" s="6">
        <v>0.87</v>
      </c>
      <c r="R110" s="6">
        <v>0.74</v>
      </c>
      <c r="S110" s="6">
        <v>0.99</v>
      </c>
      <c r="T110" s="6">
        <v>0.39</v>
      </c>
      <c r="U110" s="6">
        <v>0.86</v>
      </c>
      <c r="W110" s="4" t="s">
        <v>80</v>
      </c>
      <c r="X110" s="6">
        <v>0.75</v>
      </c>
      <c r="Y110" s="6">
        <v>0.99</v>
      </c>
      <c r="Z110" s="6">
        <v>0.63</v>
      </c>
      <c r="AA110" s="6">
        <v>0.92</v>
      </c>
      <c r="AB110" s="6">
        <v>0.38</v>
      </c>
      <c r="AC110" s="6">
        <v>0.91</v>
      </c>
      <c r="AE110" s="4" t="s">
        <v>80</v>
      </c>
      <c r="AF110" s="6">
        <v>0.56000000000000005</v>
      </c>
      <c r="AG110" s="6">
        <v>0.87</v>
      </c>
      <c r="AH110" s="6">
        <v>0.97</v>
      </c>
      <c r="AI110" s="6">
        <v>1</v>
      </c>
      <c r="AJ110" s="6">
        <v>0.53</v>
      </c>
      <c r="AK110" s="6">
        <v>0.87</v>
      </c>
      <c r="AM110" s="4" t="s">
        <v>80</v>
      </c>
      <c r="AN110" s="6">
        <v>0.99</v>
      </c>
      <c r="AO110" s="6">
        <v>1</v>
      </c>
      <c r="AP110" s="6">
        <v>0.53</v>
      </c>
      <c r="AQ110" s="6">
        <v>0.84</v>
      </c>
      <c r="AR110" s="6">
        <v>0.51</v>
      </c>
      <c r="AS110" s="6">
        <v>0.84</v>
      </c>
      <c r="AU110" s="4" t="s">
        <v>80</v>
      </c>
      <c r="AV110" s="6">
        <v>0.8</v>
      </c>
      <c r="AW110" s="6">
        <v>0.84</v>
      </c>
      <c r="AX110" s="6">
        <v>1</v>
      </c>
      <c r="AY110" s="6">
        <v>1</v>
      </c>
      <c r="AZ110" s="6">
        <v>0.8</v>
      </c>
      <c r="BA110" s="6">
        <v>0.84</v>
      </c>
      <c r="BC110" s="4" t="s">
        <v>80</v>
      </c>
      <c r="BD110" s="6">
        <v>1</v>
      </c>
      <c r="BE110" s="6">
        <v>1</v>
      </c>
      <c r="BF110" s="6">
        <v>0.8</v>
      </c>
      <c r="BG110" s="6">
        <v>0.82</v>
      </c>
      <c r="BH110" s="6">
        <v>0.8</v>
      </c>
      <c r="BI110" s="6">
        <v>0.82</v>
      </c>
      <c r="BK110" s="4" t="s">
        <v>80</v>
      </c>
      <c r="BL110" s="6">
        <v>1</v>
      </c>
      <c r="BM110" s="6">
        <v>1</v>
      </c>
      <c r="BN110" s="6">
        <v>1</v>
      </c>
      <c r="BO110" s="6">
        <v>1</v>
      </c>
      <c r="BP110" s="6">
        <v>1</v>
      </c>
      <c r="BQ110" s="6">
        <v>1</v>
      </c>
    </row>
    <row r="111" spans="2:69" x14ac:dyDescent="0.3">
      <c r="G111" s="4" t="s">
        <v>81</v>
      </c>
      <c r="H111" s="6">
        <v>0.66</v>
      </c>
      <c r="I111" s="6">
        <v>0.91</v>
      </c>
      <c r="J111" s="6">
        <v>0.61</v>
      </c>
      <c r="K111" s="6">
        <v>0.92</v>
      </c>
      <c r="L111" s="6">
        <v>0.28000000000000003</v>
      </c>
      <c r="M111" s="6">
        <v>0.83</v>
      </c>
      <c r="O111" s="4" t="s">
        <v>81</v>
      </c>
      <c r="P111" s="6">
        <v>0.53</v>
      </c>
      <c r="Q111" s="6">
        <v>0.89</v>
      </c>
      <c r="R111" s="6">
        <v>0.83</v>
      </c>
      <c r="S111" s="6">
        <v>1</v>
      </c>
      <c r="T111" s="6">
        <v>0.35</v>
      </c>
      <c r="U111" s="6">
        <v>0.89</v>
      </c>
      <c r="W111" s="4" t="s">
        <v>81</v>
      </c>
      <c r="X111" s="6">
        <v>0.82</v>
      </c>
      <c r="Y111" s="6">
        <v>1</v>
      </c>
      <c r="Z111" s="6">
        <v>0.51</v>
      </c>
      <c r="AA111" s="6">
        <v>0.82</v>
      </c>
      <c r="AB111" s="6">
        <v>0.33</v>
      </c>
      <c r="AC111" s="6">
        <v>0.82</v>
      </c>
      <c r="AE111" s="4" t="s">
        <v>81</v>
      </c>
      <c r="AF111" s="6">
        <v>0.56999999999999995</v>
      </c>
      <c r="AG111" s="6">
        <v>0.81</v>
      </c>
      <c r="AH111" s="6">
        <v>1</v>
      </c>
      <c r="AI111" s="6">
        <v>1</v>
      </c>
      <c r="AJ111" s="6">
        <v>0.56999999999999995</v>
      </c>
      <c r="AK111" s="6">
        <v>0.81</v>
      </c>
      <c r="AM111" s="4" t="s">
        <v>81</v>
      </c>
      <c r="AN111" s="6">
        <v>1</v>
      </c>
      <c r="AO111" s="6">
        <v>1</v>
      </c>
      <c r="AP111" s="6">
        <v>0.52</v>
      </c>
      <c r="AQ111" s="6">
        <v>0.77</v>
      </c>
      <c r="AR111" s="6">
        <v>0.52</v>
      </c>
      <c r="AS111" s="6">
        <v>0.77</v>
      </c>
      <c r="AU111" s="4" t="s">
        <v>81</v>
      </c>
      <c r="AV111" s="6">
        <v>0.92</v>
      </c>
      <c r="AW111" s="6">
        <v>0.92</v>
      </c>
      <c r="AX111" s="6">
        <v>1</v>
      </c>
      <c r="AY111" s="6">
        <v>1</v>
      </c>
      <c r="AZ111" s="6">
        <v>0.92</v>
      </c>
      <c r="BA111" s="6">
        <v>0.92</v>
      </c>
      <c r="BC111" s="4" t="s">
        <v>81</v>
      </c>
      <c r="BD111" s="6">
        <v>1</v>
      </c>
      <c r="BE111" s="6">
        <v>1</v>
      </c>
      <c r="BF111" s="6">
        <v>0.9</v>
      </c>
      <c r="BG111" s="6">
        <v>0.9</v>
      </c>
      <c r="BH111" s="6">
        <v>0.9</v>
      </c>
      <c r="BI111" s="6">
        <v>0.9</v>
      </c>
      <c r="BK111" s="4" t="s">
        <v>81</v>
      </c>
      <c r="BL111" s="6">
        <v>1</v>
      </c>
      <c r="BM111" s="6">
        <v>1</v>
      </c>
      <c r="BN111" s="6">
        <v>1</v>
      </c>
      <c r="BO111" s="6">
        <v>1</v>
      </c>
      <c r="BP111" s="6">
        <v>1</v>
      </c>
      <c r="BQ111" s="6">
        <v>1</v>
      </c>
    </row>
    <row r="112" spans="2:69" x14ac:dyDescent="0.3">
      <c r="G112" s="4" t="s">
        <v>82</v>
      </c>
      <c r="H112" s="6">
        <v>0.67</v>
      </c>
      <c r="I112" s="6">
        <v>0.98</v>
      </c>
      <c r="J112" s="6">
        <v>0.56000000000000005</v>
      </c>
      <c r="K112" s="6">
        <v>0.97</v>
      </c>
      <c r="L112" s="6">
        <v>0.24</v>
      </c>
      <c r="M112" s="6">
        <v>0.95</v>
      </c>
      <c r="O112" s="4" t="s">
        <v>82</v>
      </c>
      <c r="P112" s="6">
        <v>0.36</v>
      </c>
      <c r="Q112" s="6">
        <v>0.85</v>
      </c>
      <c r="R112" s="6">
        <v>0.95</v>
      </c>
      <c r="S112" s="6">
        <v>1</v>
      </c>
      <c r="T112" s="6">
        <v>0.31</v>
      </c>
      <c r="U112" s="6">
        <v>0.85</v>
      </c>
      <c r="W112" s="4" t="s">
        <v>82</v>
      </c>
      <c r="X112" s="6">
        <v>0.96</v>
      </c>
      <c r="Y112" s="6">
        <v>1</v>
      </c>
      <c r="Z112" s="6">
        <v>0.34</v>
      </c>
      <c r="AA112" s="6">
        <v>0.74</v>
      </c>
      <c r="AB112" s="6">
        <v>0.3</v>
      </c>
      <c r="AC112" s="6">
        <v>0.74</v>
      </c>
      <c r="AE112" s="4" t="s">
        <v>82</v>
      </c>
      <c r="AF112" s="6">
        <v>0.62</v>
      </c>
      <c r="AG112" s="6">
        <v>0.7</v>
      </c>
      <c r="AH112" s="6">
        <v>1</v>
      </c>
      <c r="AI112" s="6">
        <v>1</v>
      </c>
      <c r="AJ112" s="6">
        <v>0.62</v>
      </c>
      <c r="AK112" s="6">
        <v>0.7</v>
      </c>
      <c r="AM112" s="4" t="s">
        <v>82</v>
      </c>
      <c r="AN112" s="6">
        <v>1</v>
      </c>
      <c r="AO112" s="6">
        <v>1</v>
      </c>
      <c r="AP112" s="6">
        <v>0.57999999999999996</v>
      </c>
      <c r="AQ112" s="6">
        <v>0.65</v>
      </c>
      <c r="AR112" s="6">
        <v>0.57999999999999996</v>
      </c>
      <c r="AS112" s="6">
        <v>0.65</v>
      </c>
      <c r="AU112" s="4" t="s">
        <v>82</v>
      </c>
      <c r="AV112" s="6">
        <v>0.99</v>
      </c>
      <c r="AW112" s="6">
        <v>0.99</v>
      </c>
      <c r="AX112" s="6">
        <v>1</v>
      </c>
      <c r="AY112" s="6">
        <v>1</v>
      </c>
      <c r="AZ112" s="6">
        <v>0.99</v>
      </c>
      <c r="BA112" s="6">
        <v>0.99</v>
      </c>
      <c r="BC112" s="4" t="s">
        <v>82</v>
      </c>
      <c r="BD112" s="6">
        <v>1</v>
      </c>
      <c r="BE112" s="6">
        <v>1</v>
      </c>
      <c r="BF112" s="6">
        <v>0.98</v>
      </c>
      <c r="BG112" s="6">
        <v>0.98</v>
      </c>
      <c r="BH112" s="6">
        <v>0.98</v>
      </c>
      <c r="BI112" s="6">
        <v>0.98</v>
      </c>
      <c r="BK112" s="4" t="s">
        <v>82</v>
      </c>
      <c r="BL112" s="6">
        <v>1</v>
      </c>
      <c r="BM112" s="6">
        <v>1</v>
      </c>
      <c r="BN112" s="6">
        <v>1</v>
      </c>
      <c r="BO112" s="6">
        <v>1</v>
      </c>
      <c r="BP112" s="6">
        <v>1</v>
      </c>
      <c r="BQ112" s="6">
        <v>1</v>
      </c>
    </row>
    <row r="113" spans="2:125" x14ac:dyDescent="0.3">
      <c r="G113" s="4" t="s">
        <v>83</v>
      </c>
      <c r="H113" s="6">
        <v>0.5</v>
      </c>
      <c r="I113" s="6">
        <v>1</v>
      </c>
      <c r="J113" s="6">
        <v>0.7</v>
      </c>
      <c r="K113" s="6">
        <v>1</v>
      </c>
      <c r="L113" s="6">
        <v>0.19</v>
      </c>
      <c r="M113" s="6">
        <v>1</v>
      </c>
      <c r="O113" s="4" t="s">
        <v>83</v>
      </c>
      <c r="P113" s="6">
        <v>0.26</v>
      </c>
      <c r="Q113" s="6">
        <v>0.67</v>
      </c>
      <c r="R113" s="6">
        <v>1</v>
      </c>
      <c r="S113" s="6">
        <v>1</v>
      </c>
      <c r="T113" s="6">
        <v>0.26</v>
      </c>
      <c r="U113" s="6">
        <v>0.67</v>
      </c>
      <c r="W113" s="4" t="s">
        <v>83</v>
      </c>
      <c r="X113" s="6">
        <v>1</v>
      </c>
      <c r="Y113" s="6">
        <v>1</v>
      </c>
      <c r="Z113" s="6">
        <v>0.25</v>
      </c>
      <c r="AA113" s="6">
        <v>0.84</v>
      </c>
      <c r="AB113" s="6">
        <v>0.25</v>
      </c>
      <c r="AC113" s="6">
        <v>0.84</v>
      </c>
      <c r="AE113" s="4" t="s">
        <v>83</v>
      </c>
      <c r="AF113" s="6">
        <v>0.61</v>
      </c>
      <c r="AG113" s="6">
        <v>0.61</v>
      </c>
      <c r="AH113" s="6">
        <v>1</v>
      </c>
      <c r="AI113" s="6">
        <v>1</v>
      </c>
      <c r="AJ113" s="6">
        <v>0.61</v>
      </c>
      <c r="AK113" s="6">
        <v>0.61</v>
      </c>
      <c r="AM113" s="4" t="s">
        <v>83</v>
      </c>
      <c r="AN113" s="6">
        <v>1</v>
      </c>
      <c r="AO113" s="6">
        <v>1</v>
      </c>
      <c r="AP113" s="6">
        <v>0.55000000000000004</v>
      </c>
      <c r="AQ113" s="6">
        <v>0.55000000000000004</v>
      </c>
      <c r="AR113" s="6">
        <v>0.55000000000000004</v>
      </c>
      <c r="AS113" s="6">
        <v>0.55000000000000004</v>
      </c>
      <c r="AU113" s="4" t="s">
        <v>83</v>
      </c>
      <c r="AV113" s="6">
        <v>1</v>
      </c>
      <c r="AW113" s="6">
        <v>1</v>
      </c>
      <c r="AX113" s="6">
        <v>1</v>
      </c>
      <c r="AY113" s="6">
        <v>1</v>
      </c>
      <c r="AZ113" s="6">
        <v>1</v>
      </c>
      <c r="BA113" s="6">
        <v>1</v>
      </c>
      <c r="BC113" s="4" t="s">
        <v>83</v>
      </c>
      <c r="BD113" s="6">
        <v>1</v>
      </c>
      <c r="BE113" s="6">
        <v>1</v>
      </c>
      <c r="BF113" s="6">
        <v>1</v>
      </c>
      <c r="BG113" s="6">
        <v>1</v>
      </c>
      <c r="BH113" s="6">
        <v>1</v>
      </c>
      <c r="BI113" s="6">
        <v>1</v>
      </c>
      <c r="BK113" s="4" t="s">
        <v>83</v>
      </c>
      <c r="BL113" s="6">
        <v>1</v>
      </c>
      <c r="BM113" s="6">
        <v>1</v>
      </c>
      <c r="BN113" s="6">
        <v>1</v>
      </c>
      <c r="BO113" s="6">
        <v>1</v>
      </c>
      <c r="BP113" s="6">
        <v>1</v>
      </c>
      <c r="BQ113" s="6">
        <v>1</v>
      </c>
    </row>
    <row r="114" spans="2:125" x14ac:dyDescent="0.3">
      <c r="D114" t="s">
        <v>228</v>
      </c>
    </row>
    <row r="115" spans="2:125" x14ac:dyDescent="0.3">
      <c r="H115" s="18" t="s">
        <v>183</v>
      </c>
      <c r="W115" s="18" t="s">
        <v>184</v>
      </c>
      <c r="AL115" s="18" t="s">
        <v>182</v>
      </c>
      <c r="BA115" s="18" t="s">
        <v>185</v>
      </c>
      <c r="BP115" s="18" t="s">
        <v>181</v>
      </c>
      <c r="CE115" s="18" t="s">
        <v>186</v>
      </c>
      <c r="CT115" s="18" t="s">
        <v>176</v>
      </c>
      <c r="DI115" s="18" t="s">
        <v>180</v>
      </c>
    </row>
    <row r="116" spans="2:125" x14ac:dyDescent="0.3">
      <c r="B116" s="3" t="s">
        <v>205</v>
      </c>
      <c r="C116" t="s">
        <v>206</v>
      </c>
      <c r="H116">
        <v>1</v>
      </c>
      <c r="I116">
        <v>2</v>
      </c>
      <c r="J116">
        <v>3</v>
      </c>
      <c r="K116">
        <v>4</v>
      </c>
      <c r="L116">
        <v>5</v>
      </c>
      <c r="M116">
        <v>6</v>
      </c>
      <c r="N116">
        <v>7</v>
      </c>
      <c r="O116">
        <v>8</v>
      </c>
      <c r="P116">
        <v>9</v>
      </c>
      <c r="Q116">
        <v>10</v>
      </c>
      <c r="R116">
        <v>11</v>
      </c>
      <c r="S116">
        <v>12</v>
      </c>
      <c r="T116">
        <v>13</v>
      </c>
      <c r="U116">
        <v>14</v>
      </c>
      <c r="V116">
        <v>15</v>
      </c>
      <c r="W116">
        <v>16</v>
      </c>
      <c r="X116">
        <v>17</v>
      </c>
      <c r="Y116">
        <v>18</v>
      </c>
      <c r="Z116">
        <v>19</v>
      </c>
      <c r="AA116">
        <v>20</v>
      </c>
      <c r="AB116">
        <v>21</v>
      </c>
      <c r="AC116">
        <v>22</v>
      </c>
      <c r="AD116">
        <v>23</v>
      </c>
      <c r="AE116">
        <v>24</v>
      </c>
      <c r="AF116">
        <v>25</v>
      </c>
      <c r="AG116">
        <v>26</v>
      </c>
      <c r="AH116">
        <v>27</v>
      </c>
      <c r="AI116">
        <v>28</v>
      </c>
      <c r="AJ116">
        <v>29</v>
      </c>
      <c r="AK116">
        <v>30</v>
      </c>
      <c r="AL116">
        <v>31</v>
      </c>
      <c r="AM116">
        <v>32</v>
      </c>
      <c r="AN116">
        <v>33</v>
      </c>
      <c r="AO116">
        <v>34</v>
      </c>
      <c r="AP116">
        <v>35</v>
      </c>
      <c r="AQ116">
        <v>36</v>
      </c>
      <c r="AR116">
        <v>37</v>
      </c>
      <c r="AS116">
        <v>38</v>
      </c>
      <c r="AT116">
        <v>39</v>
      </c>
      <c r="AU116">
        <v>40</v>
      </c>
      <c r="AV116">
        <v>41</v>
      </c>
      <c r="AW116">
        <v>42</v>
      </c>
      <c r="AX116">
        <v>43</v>
      </c>
      <c r="AY116">
        <v>44</v>
      </c>
      <c r="AZ116">
        <v>45</v>
      </c>
      <c r="BA116">
        <v>46</v>
      </c>
      <c r="BB116">
        <v>47</v>
      </c>
      <c r="BC116">
        <v>48</v>
      </c>
      <c r="BD116">
        <v>49</v>
      </c>
      <c r="BE116">
        <v>50</v>
      </c>
      <c r="BF116">
        <v>51</v>
      </c>
      <c r="BG116">
        <v>52</v>
      </c>
      <c r="BH116">
        <v>53</v>
      </c>
      <c r="BI116">
        <v>54</v>
      </c>
      <c r="BJ116">
        <v>55</v>
      </c>
      <c r="BK116">
        <v>56</v>
      </c>
      <c r="BL116">
        <v>57</v>
      </c>
      <c r="BM116">
        <v>58</v>
      </c>
      <c r="BN116">
        <v>59</v>
      </c>
      <c r="BO116">
        <v>60</v>
      </c>
      <c r="BP116">
        <v>61</v>
      </c>
      <c r="BQ116">
        <v>62</v>
      </c>
      <c r="BR116">
        <v>63</v>
      </c>
      <c r="BS116">
        <v>64</v>
      </c>
      <c r="BT116">
        <v>65</v>
      </c>
      <c r="BU116">
        <v>66</v>
      </c>
      <c r="BV116">
        <v>67</v>
      </c>
      <c r="BW116">
        <v>68</v>
      </c>
      <c r="BX116">
        <v>69</v>
      </c>
      <c r="BY116">
        <v>70</v>
      </c>
      <c r="BZ116">
        <v>71</v>
      </c>
      <c r="CA116">
        <v>72</v>
      </c>
      <c r="CB116">
        <v>73</v>
      </c>
      <c r="CC116">
        <v>74</v>
      </c>
      <c r="CD116">
        <v>75</v>
      </c>
      <c r="CE116">
        <v>76</v>
      </c>
      <c r="CF116">
        <v>77</v>
      </c>
      <c r="CG116">
        <v>78</v>
      </c>
      <c r="CH116">
        <v>79</v>
      </c>
      <c r="CI116">
        <v>80</v>
      </c>
      <c r="CJ116">
        <v>81</v>
      </c>
      <c r="CK116">
        <v>82</v>
      </c>
      <c r="CL116">
        <v>83</v>
      </c>
      <c r="CM116">
        <v>84</v>
      </c>
      <c r="CN116">
        <v>85</v>
      </c>
      <c r="CO116">
        <v>86</v>
      </c>
      <c r="CP116">
        <v>87</v>
      </c>
      <c r="CQ116">
        <v>88</v>
      </c>
      <c r="CR116">
        <v>89</v>
      </c>
      <c r="CS116">
        <v>90</v>
      </c>
      <c r="CT116">
        <v>91</v>
      </c>
      <c r="CU116">
        <v>92</v>
      </c>
      <c r="CV116">
        <v>93</v>
      </c>
      <c r="CW116">
        <v>94</v>
      </c>
      <c r="CX116">
        <v>95</v>
      </c>
      <c r="CY116">
        <v>96</v>
      </c>
      <c r="CZ116">
        <v>97</v>
      </c>
      <c r="DA116">
        <v>98</v>
      </c>
      <c r="DB116">
        <v>99</v>
      </c>
      <c r="DC116">
        <v>100</v>
      </c>
      <c r="DD116">
        <v>101</v>
      </c>
      <c r="DE116">
        <v>102</v>
      </c>
      <c r="DF116">
        <v>103</v>
      </c>
      <c r="DG116">
        <v>104</v>
      </c>
      <c r="DH116">
        <v>105</v>
      </c>
      <c r="DI116">
        <v>106</v>
      </c>
      <c r="DJ116">
        <v>107</v>
      </c>
      <c r="DK116">
        <v>108</v>
      </c>
      <c r="DL116">
        <v>109</v>
      </c>
      <c r="DM116">
        <v>110</v>
      </c>
      <c r="DN116">
        <v>111</v>
      </c>
      <c r="DO116">
        <v>112</v>
      </c>
      <c r="DP116">
        <v>113</v>
      </c>
      <c r="DQ116">
        <v>114</v>
      </c>
      <c r="DR116">
        <v>115</v>
      </c>
      <c r="DS116">
        <v>116</v>
      </c>
      <c r="DT116">
        <v>117</v>
      </c>
      <c r="DU116">
        <v>118</v>
      </c>
    </row>
    <row r="118" spans="2:125" x14ac:dyDescent="0.3">
      <c r="G118" s="4" t="s">
        <v>87</v>
      </c>
      <c r="H118" s="4" t="s">
        <v>213</v>
      </c>
      <c r="I118" s="4"/>
      <c r="J118" s="4"/>
      <c r="K118" s="4"/>
      <c r="L118" s="4"/>
      <c r="M118" s="4"/>
      <c r="N118" s="4"/>
      <c r="O118" s="4"/>
      <c r="P118" s="4"/>
      <c r="Q118" s="4"/>
      <c r="R118" s="4"/>
      <c r="S118" s="4"/>
      <c r="T118" s="4"/>
      <c r="V118" s="4" t="s">
        <v>87</v>
      </c>
      <c r="W118" s="4" t="s">
        <v>214</v>
      </c>
      <c r="X118" s="4"/>
      <c r="Y118" s="4"/>
      <c r="Z118" s="4"/>
      <c r="AA118" s="4"/>
      <c r="AB118" s="4"/>
      <c r="AC118" s="4"/>
      <c r="AD118" s="4"/>
      <c r="AE118" s="4"/>
      <c r="AF118" s="4"/>
      <c r="AG118" s="4"/>
      <c r="AH118" s="4"/>
      <c r="AI118" s="4"/>
      <c r="AK118" s="4" t="s">
        <v>87</v>
      </c>
      <c r="AL118" s="4" t="s">
        <v>212</v>
      </c>
      <c r="AM118" s="4"/>
      <c r="AN118" s="4"/>
      <c r="AO118" s="4"/>
      <c r="AP118" s="4"/>
      <c r="AQ118" s="4"/>
      <c r="AR118" s="4"/>
      <c r="AS118" s="4"/>
      <c r="AT118" s="4"/>
      <c r="AU118" s="4"/>
      <c r="AV118" s="4"/>
      <c r="AW118" s="4"/>
      <c r="AX118" s="4"/>
      <c r="AZ118" s="4" t="s">
        <v>87</v>
      </c>
      <c r="BA118" s="4" t="s">
        <v>215</v>
      </c>
      <c r="BB118" s="4"/>
      <c r="BC118" s="4"/>
      <c r="BD118" s="4"/>
      <c r="BE118" s="4"/>
      <c r="BF118" s="4"/>
      <c r="BG118" s="4"/>
      <c r="BH118" s="4"/>
      <c r="BI118" s="4"/>
      <c r="BJ118" s="4"/>
      <c r="BK118" s="4"/>
      <c r="BL118" s="4"/>
      <c r="BM118" s="4"/>
      <c r="BO118" s="4" t="s">
        <v>87</v>
      </c>
      <c r="BP118" s="4" t="s">
        <v>211</v>
      </c>
      <c r="BQ118" s="4"/>
      <c r="BR118" s="4"/>
      <c r="BS118" s="4"/>
      <c r="BT118" s="4"/>
      <c r="BU118" s="4"/>
      <c r="BV118" s="4"/>
      <c r="BW118" s="4"/>
      <c r="BX118" s="4"/>
      <c r="BY118" s="4"/>
      <c r="BZ118" s="4"/>
      <c r="CA118" s="4"/>
      <c r="CB118" s="4"/>
      <c r="CD118" s="4" t="s">
        <v>87</v>
      </c>
      <c r="CE118" s="4" t="s">
        <v>216</v>
      </c>
      <c r="CF118" s="4"/>
      <c r="CG118" s="4"/>
      <c r="CH118" s="4"/>
      <c r="CI118" s="4"/>
      <c r="CJ118" s="4"/>
      <c r="CK118" s="4"/>
      <c r="CL118" s="4"/>
      <c r="CM118" s="4"/>
      <c r="CN118" s="4"/>
      <c r="CO118" s="4"/>
      <c r="CP118" s="4"/>
      <c r="CQ118" s="4"/>
      <c r="CS118" s="4" t="s">
        <v>87</v>
      </c>
      <c r="CT118" s="4" t="s">
        <v>210</v>
      </c>
      <c r="CU118" s="4"/>
      <c r="CV118" s="4"/>
      <c r="CW118" s="4"/>
      <c r="CX118" s="4"/>
      <c r="CY118" s="4"/>
      <c r="CZ118" s="4"/>
      <c r="DA118" s="4"/>
      <c r="DB118" s="4"/>
      <c r="DC118" s="4"/>
      <c r="DD118" s="4"/>
      <c r="DE118" s="4"/>
      <c r="DF118" s="4"/>
      <c r="DH118" s="4" t="s">
        <v>87</v>
      </c>
      <c r="DI118" s="4" t="s">
        <v>207</v>
      </c>
      <c r="DJ118" s="4"/>
      <c r="DK118" s="4"/>
      <c r="DL118" s="4"/>
      <c r="DM118" s="4"/>
      <c r="DN118" s="4"/>
      <c r="DO118" s="4"/>
      <c r="DP118" s="4"/>
      <c r="DQ118" s="4"/>
      <c r="DR118" s="4"/>
      <c r="DS118" s="4"/>
      <c r="DT118" s="4"/>
      <c r="DU118" s="4"/>
    </row>
    <row r="119" spans="2:125" x14ac:dyDescent="0.3">
      <c r="G119" s="4"/>
      <c r="H119" s="4" t="s">
        <v>208</v>
      </c>
      <c r="I119" s="4"/>
      <c r="J119" s="4"/>
      <c r="K119" s="4"/>
      <c r="L119" s="4"/>
      <c r="M119" s="4"/>
      <c r="N119" s="4"/>
      <c r="O119" s="4"/>
      <c r="P119" s="4"/>
      <c r="Q119" s="4"/>
      <c r="R119" s="4"/>
      <c r="S119" s="4"/>
      <c r="T119" s="4"/>
      <c r="V119" s="4"/>
      <c r="W119" s="4" t="s">
        <v>208</v>
      </c>
      <c r="X119" s="4"/>
      <c r="Y119" s="4"/>
      <c r="Z119" s="4"/>
      <c r="AA119" s="4"/>
      <c r="AB119" s="4"/>
      <c r="AC119" s="4"/>
      <c r="AD119" s="4"/>
      <c r="AE119" s="4"/>
      <c r="AF119" s="4"/>
      <c r="AG119" s="4"/>
      <c r="AH119" s="4"/>
      <c r="AI119" s="4"/>
      <c r="AK119" s="4"/>
      <c r="AL119" s="4" t="s">
        <v>208</v>
      </c>
      <c r="AM119" s="4"/>
      <c r="AN119" s="4"/>
      <c r="AO119" s="4"/>
      <c r="AP119" s="4"/>
      <c r="AQ119" s="4"/>
      <c r="AR119" s="4"/>
      <c r="AS119" s="4"/>
      <c r="AT119" s="4"/>
      <c r="AU119" s="4"/>
      <c r="AV119" s="4"/>
      <c r="AW119" s="4"/>
      <c r="AX119" s="4"/>
      <c r="AZ119" s="4"/>
      <c r="BA119" s="4" t="s">
        <v>208</v>
      </c>
      <c r="BB119" s="4"/>
      <c r="BC119" s="4"/>
      <c r="BD119" s="4"/>
      <c r="BE119" s="4"/>
      <c r="BF119" s="4"/>
      <c r="BG119" s="4"/>
      <c r="BH119" s="4"/>
      <c r="BI119" s="4"/>
      <c r="BJ119" s="4"/>
      <c r="BK119" s="4"/>
      <c r="BL119" s="4"/>
      <c r="BM119" s="4"/>
      <c r="BO119" s="4"/>
      <c r="BP119" s="4" t="s">
        <v>208</v>
      </c>
      <c r="BQ119" s="4"/>
      <c r="BR119" s="4"/>
      <c r="BS119" s="4"/>
      <c r="BT119" s="4"/>
      <c r="BU119" s="4"/>
      <c r="BV119" s="4"/>
      <c r="BW119" s="4"/>
      <c r="BX119" s="4"/>
      <c r="BY119" s="4"/>
      <c r="BZ119" s="4"/>
      <c r="CA119" s="4"/>
      <c r="CB119" s="4"/>
      <c r="CD119" s="4"/>
      <c r="CE119" s="4" t="s">
        <v>208</v>
      </c>
      <c r="CF119" s="4"/>
      <c r="CG119" s="4"/>
      <c r="CH119" s="4"/>
      <c r="CI119" s="4"/>
      <c r="CJ119" s="4"/>
      <c r="CK119" s="4"/>
      <c r="CL119" s="4"/>
      <c r="CM119" s="4"/>
      <c r="CN119" s="4"/>
      <c r="CO119" s="4"/>
      <c r="CP119" s="4"/>
      <c r="CQ119" s="4"/>
      <c r="CS119" s="4"/>
      <c r="CT119" s="4" t="s">
        <v>208</v>
      </c>
      <c r="CU119" s="4"/>
      <c r="CV119" s="4"/>
      <c r="CW119" s="4"/>
      <c r="CX119" s="4"/>
      <c r="CY119" s="4"/>
      <c r="CZ119" s="4"/>
      <c r="DA119" s="4"/>
      <c r="DB119" s="4"/>
      <c r="DC119" s="4"/>
      <c r="DD119" s="4"/>
      <c r="DE119" s="4"/>
      <c r="DF119" s="4"/>
      <c r="DH119" s="4"/>
      <c r="DI119" s="4" t="s">
        <v>208</v>
      </c>
      <c r="DJ119" s="4"/>
      <c r="DK119" s="4"/>
      <c r="DL119" s="4"/>
      <c r="DM119" s="4"/>
      <c r="DN119" s="4"/>
      <c r="DO119" s="4"/>
      <c r="DP119" s="4"/>
      <c r="DQ119" s="4"/>
      <c r="DR119" s="4"/>
      <c r="DS119" s="4"/>
      <c r="DT119" s="4"/>
      <c r="DU119" s="4"/>
    </row>
    <row r="120" spans="2:125" x14ac:dyDescent="0.3">
      <c r="G120" s="4"/>
      <c r="H120" s="4" t="s">
        <v>89</v>
      </c>
      <c r="I120" s="4"/>
      <c r="J120" s="4"/>
      <c r="K120" s="4"/>
      <c r="L120" s="4"/>
      <c r="M120" s="4"/>
      <c r="N120" s="4"/>
      <c r="O120" s="4"/>
      <c r="P120" s="4"/>
      <c r="Q120" s="4"/>
      <c r="R120" s="4"/>
      <c r="S120" s="4"/>
      <c r="T120" s="4"/>
      <c r="V120" s="4"/>
      <c r="W120" s="4" t="s">
        <v>89</v>
      </c>
      <c r="X120" s="4"/>
      <c r="Y120" s="4"/>
      <c r="Z120" s="4"/>
      <c r="AA120" s="4"/>
      <c r="AB120" s="4"/>
      <c r="AC120" s="4"/>
      <c r="AD120" s="4"/>
      <c r="AE120" s="4"/>
      <c r="AF120" s="4"/>
      <c r="AG120" s="4"/>
      <c r="AH120" s="4"/>
      <c r="AI120" s="4"/>
      <c r="AK120" s="4"/>
      <c r="AL120" s="4" t="s">
        <v>89</v>
      </c>
      <c r="AM120" s="4"/>
      <c r="AN120" s="4"/>
      <c r="AO120" s="4"/>
      <c r="AP120" s="4"/>
      <c r="AQ120" s="4"/>
      <c r="AR120" s="4"/>
      <c r="AS120" s="4"/>
      <c r="AT120" s="4"/>
      <c r="AU120" s="4"/>
      <c r="AV120" s="4"/>
      <c r="AW120" s="4"/>
      <c r="AX120" s="4"/>
      <c r="AZ120" s="4"/>
      <c r="BA120" s="4" t="s">
        <v>89</v>
      </c>
      <c r="BB120" s="4"/>
      <c r="BC120" s="4"/>
      <c r="BD120" s="4"/>
      <c r="BE120" s="4"/>
      <c r="BF120" s="4"/>
      <c r="BG120" s="4"/>
      <c r="BH120" s="4"/>
      <c r="BI120" s="4"/>
      <c r="BJ120" s="4"/>
      <c r="BK120" s="4"/>
      <c r="BL120" s="4"/>
      <c r="BM120" s="4"/>
      <c r="BO120" s="4"/>
      <c r="BP120" s="4" t="s">
        <v>89</v>
      </c>
      <c r="BQ120" s="4"/>
      <c r="BR120" s="4"/>
      <c r="BS120" s="4"/>
      <c r="BT120" s="4"/>
      <c r="BU120" s="4"/>
      <c r="BV120" s="4"/>
      <c r="BW120" s="4"/>
      <c r="BX120" s="4"/>
      <c r="BY120" s="4"/>
      <c r="BZ120" s="4"/>
      <c r="CA120" s="4"/>
      <c r="CB120" s="4"/>
      <c r="CD120" s="4"/>
      <c r="CE120" s="4" t="s">
        <v>89</v>
      </c>
      <c r="CF120" s="4"/>
      <c r="CG120" s="4"/>
      <c r="CH120" s="4"/>
      <c r="CI120" s="4"/>
      <c r="CJ120" s="4"/>
      <c r="CK120" s="4"/>
      <c r="CL120" s="4"/>
      <c r="CM120" s="4"/>
      <c r="CN120" s="4"/>
      <c r="CO120" s="4"/>
      <c r="CP120" s="4"/>
      <c r="CQ120" s="4"/>
      <c r="CS120" s="4"/>
      <c r="CT120" s="4" t="s">
        <v>89</v>
      </c>
      <c r="CU120" s="4"/>
      <c r="CV120" s="4"/>
      <c r="CW120" s="4"/>
      <c r="CX120" s="4"/>
      <c r="CY120" s="4"/>
      <c r="CZ120" s="4"/>
      <c r="DA120" s="4"/>
      <c r="DB120" s="4"/>
      <c r="DC120" s="4"/>
      <c r="DD120" s="4"/>
      <c r="DE120" s="4"/>
      <c r="DF120" s="4"/>
      <c r="DH120" s="4"/>
      <c r="DI120" s="4" t="s">
        <v>89</v>
      </c>
      <c r="DJ120" s="4"/>
      <c r="DK120" s="4"/>
      <c r="DL120" s="4"/>
      <c r="DM120" s="4"/>
      <c r="DN120" s="4"/>
      <c r="DO120" s="4"/>
      <c r="DP120" s="4"/>
      <c r="DQ120" s="4"/>
      <c r="DR120" s="4"/>
      <c r="DS120" s="4"/>
      <c r="DT120" s="4"/>
      <c r="DU120" s="4"/>
    </row>
    <row r="121" spans="2:125" x14ac:dyDescent="0.3">
      <c r="G121" s="4" t="s">
        <v>85</v>
      </c>
      <c r="H121" s="4">
        <v>90</v>
      </c>
      <c r="I121" s="4">
        <v>75</v>
      </c>
      <c r="J121" s="4">
        <v>60</v>
      </c>
      <c r="K121" s="4">
        <v>45</v>
      </c>
      <c r="L121" s="4">
        <v>30</v>
      </c>
      <c r="M121" s="4">
        <v>15</v>
      </c>
      <c r="N121" s="4">
        <v>0</v>
      </c>
      <c r="O121" s="4">
        <v>105</v>
      </c>
      <c r="P121" s="4">
        <v>120</v>
      </c>
      <c r="Q121" s="4">
        <v>135</v>
      </c>
      <c r="R121" s="4">
        <v>150</v>
      </c>
      <c r="S121" s="4">
        <v>165</v>
      </c>
      <c r="T121" s="4">
        <v>180</v>
      </c>
      <c r="V121" s="4" t="s">
        <v>85</v>
      </c>
      <c r="W121" s="4">
        <v>90</v>
      </c>
      <c r="X121" s="4">
        <v>75</v>
      </c>
      <c r="Y121" s="4">
        <v>60</v>
      </c>
      <c r="Z121" s="4">
        <v>45</v>
      </c>
      <c r="AA121" s="4">
        <v>30</v>
      </c>
      <c r="AB121" s="4">
        <v>15</v>
      </c>
      <c r="AC121" s="4">
        <v>0</v>
      </c>
      <c r="AD121" s="4">
        <v>105</v>
      </c>
      <c r="AE121" s="4">
        <v>120</v>
      </c>
      <c r="AF121" s="4">
        <v>135</v>
      </c>
      <c r="AG121" s="4">
        <v>150</v>
      </c>
      <c r="AH121" s="4">
        <v>165</v>
      </c>
      <c r="AI121" s="4">
        <v>180</v>
      </c>
      <c r="AK121" s="4" t="s">
        <v>85</v>
      </c>
      <c r="AL121" s="4">
        <v>90</v>
      </c>
      <c r="AM121" s="4">
        <v>75</v>
      </c>
      <c r="AN121" s="4">
        <v>60</v>
      </c>
      <c r="AO121" s="4">
        <v>45</v>
      </c>
      <c r="AP121" s="4">
        <v>30</v>
      </c>
      <c r="AQ121" s="4">
        <v>15</v>
      </c>
      <c r="AR121" s="4">
        <v>0</v>
      </c>
      <c r="AS121" s="4">
        <v>105</v>
      </c>
      <c r="AT121" s="4">
        <v>120</v>
      </c>
      <c r="AU121" s="4">
        <v>135</v>
      </c>
      <c r="AV121" s="4">
        <v>150</v>
      </c>
      <c r="AW121" s="4">
        <v>165</v>
      </c>
      <c r="AX121" s="4">
        <v>180</v>
      </c>
      <c r="AZ121" s="4" t="s">
        <v>85</v>
      </c>
      <c r="BA121" s="4">
        <v>90</v>
      </c>
      <c r="BB121" s="4">
        <v>75</v>
      </c>
      <c r="BC121" s="4">
        <v>60</v>
      </c>
      <c r="BD121" s="4">
        <v>45</v>
      </c>
      <c r="BE121" s="4">
        <v>30</v>
      </c>
      <c r="BF121" s="4">
        <v>15</v>
      </c>
      <c r="BG121" s="4">
        <v>0</v>
      </c>
      <c r="BH121" s="4">
        <v>105</v>
      </c>
      <c r="BI121" s="4">
        <v>120</v>
      </c>
      <c r="BJ121" s="4">
        <v>135</v>
      </c>
      <c r="BK121" s="4">
        <v>150</v>
      </c>
      <c r="BL121" s="4">
        <v>165</v>
      </c>
      <c r="BM121" s="4">
        <v>180</v>
      </c>
      <c r="BO121" s="4" t="s">
        <v>85</v>
      </c>
      <c r="BP121" s="4">
        <v>90</v>
      </c>
      <c r="BQ121" s="4">
        <v>75</v>
      </c>
      <c r="BR121" s="4">
        <v>60</v>
      </c>
      <c r="BS121" s="4">
        <v>45</v>
      </c>
      <c r="BT121" s="4">
        <v>30</v>
      </c>
      <c r="BU121" s="4">
        <v>15</v>
      </c>
      <c r="BV121" s="4">
        <v>0</v>
      </c>
      <c r="BW121" s="4">
        <v>105</v>
      </c>
      <c r="BX121" s="4">
        <v>120</v>
      </c>
      <c r="BY121" s="4">
        <v>135</v>
      </c>
      <c r="BZ121" s="4">
        <v>150</v>
      </c>
      <c r="CA121" s="4">
        <v>165</v>
      </c>
      <c r="CB121" s="4">
        <v>180</v>
      </c>
      <c r="CD121" s="4" t="s">
        <v>85</v>
      </c>
      <c r="CE121" s="4">
        <v>90</v>
      </c>
      <c r="CF121" s="4">
        <v>75</v>
      </c>
      <c r="CG121" s="4">
        <v>60</v>
      </c>
      <c r="CH121" s="4">
        <v>45</v>
      </c>
      <c r="CI121" s="4">
        <v>30</v>
      </c>
      <c r="CJ121" s="4">
        <v>15</v>
      </c>
      <c r="CK121" s="4">
        <v>0</v>
      </c>
      <c r="CL121" s="4">
        <v>105</v>
      </c>
      <c r="CM121" s="4">
        <v>120</v>
      </c>
      <c r="CN121" s="4">
        <v>135</v>
      </c>
      <c r="CO121" s="4">
        <v>150</v>
      </c>
      <c r="CP121" s="4">
        <v>165</v>
      </c>
      <c r="CQ121" s="4">
        <v>180</v>
      </c>
      <c r="CS121" s="4" t="s">
        <v>85</v>
      </c>
      <c r="CT121" s="4">
        <v>90</v>
      </c>
      <c r="CU121" s="4">
        <v>75</v>
      </c>
      <c r="CV121" s="4">
        <v>60</v>
      </c>
      <c r="CW121" s="4">
        <v>45</v>
      </c>
      <c r="CX121" s="4">
        <v>30</v>
      </c>
      <c r="CY121" s="4">
        <v>15</v>
      </c>
      <c r="CZ121" s="4">
        <v>0</v>
      </c>
      <c r="DA121" s="4">
        <v>105</v>
      </c>
      <c r="DB121" s="4">
        <v>120</v>
      </c>
      <c r="DC121" s="4">
        <v>135</v>
      </c>
      <c r="DD121" s="4">
        <v>150</v>
      </c>
      <c r="DE121" s="4">
        <v>165</v>
      </c>
      <c r="DF121" s="4">
        <v>180</v>
      </c>
      <c r="DH121" s="4" t="s">
        <v>85</v>
      </c>
      <c r="DI121" s="4">
        <v>90</v>
      </c>
      <c r="DJ121" s="4">
        <v>75</v>
      </c>
      <c r="DK121" s="4">
        <v>60</v>
      </c>
      <c r="DL121" s="4">
        <v>45</v>
      </c>
      <c r="DM121" s="4">
        <v>30</v>
      </c>
      <c r="DN121" s="4">
        <v>15</v>
      </c>
      <c r="DO121" s="4">
        <v>0</v>
      </c>
      <c r="DP121" s="4">
        <v>105</v>
      </c>
      <c r="DQ121" s="4">
        <v>120</v>
      </c>
      <c r="DR121" s="4">
        <v>135</v>
      </c>
      <c r="DS121" s="4">
        <v>150</v>
      </c>
      <c r="DT121" s="4">
        <v>165</v>
      </c>
      <c r="DU121" s="4">
        <v>180</v>
      </c>
    </row>
    <row r="122" spans="2:125" x14ac:dyDescent="0.3">
      <c r="G122" s="4"/>
      <c r="H122" s="4" t="s">
        <v>90</v>
      </c>
      <c r="I122" s="4"/>
      <c r="J122" s="4"/>
      <c r="K122" s="4"/>
      <c r="L122" s="4"/>
      <c r="M122" s="4"/>
      <c r="N122" s="4" t="s">
        <v>209</v>
      </c>
      <c r="O122" s="4"/>
      <c r="P122" s="4"/>
      <c r="Q122" s="4"/>
      <c r="R122" s="4"/>
      <c r="S122" s="4"/>
      <c r="T122" s="4" t="s">
        <v>209</v>
      </c>
      <c r="V122" s="4"/>
      <c r="W122" s="4" t="s">
        <v>90</v>
      </c>
      <c r="X122" s="4"/>
      <c r="Y122" s="4"/>
      <c r="Z122" s="4"/>
      <c r="AA122" s="4"/>
      <c r="AB122" s="4"/>
      <c r="AC122" s="4" t="s">
        <v>209</v>
      </c>
      <c r="AD122" s="4"/>
      <c r="AE122" s="4"/>
      <c r="AF122" s="4"/>
      <c r="AG122" s="4"/>
      <c r="AH122" s="4"/>
      <c r="AI122" s="4" t="s">
        <v>209</v>
      </c>
      <c r="AK122" s="4"/>
      <c r="AL122" s="4" t="s">
        <v>90</v>
      </c>
      <c r="AM122" s="4"/>
      <c r="AN122" s="4"/>
      <c r="AO122" s="4"/>
      <c r="AP122" s="4"/>
      <c r="AQ122" s="4"/>
      <c r="AR122" s="4" t="s">
        <v>209</v>
      </c>
      <c r="AS122" s="4"/>
      <c r="AT122" s="4"/>
      <c r="AU122" s="4"/>
      <c r="AV122" s="4"/>
      <c r="AW122" s="4"/>
      <c r="AX122" s="4" t="s">
        <v>209</v>
      </c>
      <c r="AZ122" s="4"/>
      <c r="BA122" s="4" t="s">
        <v>90</v>
      </c>
      <c r="BB122" s="4"/>
      <c r="BC122" s="4"/>
      <c r="BD122" s="4"/>
      <c r="BE122" s="4"/>
      <c r="BF122" s="4"/>
      <c r="BG122" s="4" t="s">
        <v>209</v>
      </c>
      <c r="BH122" s="4"/>
      <c r="BI122" s="4"/>
      <c r="BJ122" s="4"/>
      <c r="BK122" s="4"/>
      <c r="BL122" s="4"/>
      <c r="BM122" s="4" t="s">
        <v>209</v>
      </c>
      <c r="BO122" s="4"/>
      <c r="BP122" s="4" t="s">
        <v>90</v>
      </c>
      <c r="BQ122" s="4"/>
      <c r="BR122" s="4"/>
      <c r="BS122" s="4"/>
      <c r="BT122" s="4"/>
      <c r="BU122" s="4"/>
      <c r="BV122" s="4" t="s">
        <v>209</v>
      </c>
      <c r="BW122" s="4"/>
      <c r="BX122" s="4"/>
      <c r="BY122" s="4"/>
      <c r="BZ122" s="4"/>
      <c r="CA122" s="4"/>
      <c r="CB122" s="4" t="s">
        <v>209</v>
      </c>
      <c r="CD122" s="4"/>
      <c r="CE122" s="4" t="s">
        <v>90</v>
      </c>
      <c r="CF122" s="4"/>
      <c r="CG122" s="4"/>
      <c r="CH122" s="4"/>
      <c r="CI122" s="4"/>
      <c r="CJ122" s="4"/>
      <c r="CK122" s="4" t="s">
        <v>209</v>
      </c>
      <c r="CL122" s="4"/>
      <c r="CM122" s="4"/>
      <c r="CN122" s="4"/>
      <c r="CO122" s="4"/>
      <c r="CP122" s="4"/>
      <c r="CQ122" s="4" t="s">
        <v>209</v>
      </c>
      <c r="CS122" s="4"/>
      <c r="CT122" s="4" t="s">
        <v>90</v>
      </c>
      <c r="CU122" s="4"/>
      <c r="CV122" s="4"/>
      <c r="CW122" s="4"/>
      <c r="CX122" s="4"/>
      <c r="CY122" s="4"/>
      <c r="CZ122" s="4" t="s">
        <v>209</v>
      </c>
      <c r="DA122" s="4"/>
      <c r="DB122" s="4"/>
      <c r="DC122" s="4"/>
      <c r="DD122" s="4"/>
      <c r="DE122" s="4"/>
      <c r="DF122" s="4" t="s">
        <v>209</v>
      </c>
      <c r="DH122" s="4"/>
      <c r="DI122" s="4" t="s">
        <v>90</v>
      </c>
      <c r="DJ122" s="4"/>
      <c r="DK122" s="4"/>
      <c r="DL122" s="4"/>
      <c r="DM122" s="4"/>
      <c r="DN122" s="4"/>
      <c r="DO122" s="4" t="s">
        <v>209</v>
      </c>
      <c r="DP122" s="4"/>
      <c r="DQ122" s="4"/>
      <c r="DR122" s="4"/>
      <c r="DS122" s="4"/>
      <c r="DT122" s="4"/>
      <c r="DU122" s="4" t="s">
        <v>209</v>
      </c>
    </row>
    <row r="123" spans="2:125" x14ac:dyDescent="0.3">
      <c r="G123" s="4" t="s">
        <v>71</v>
      </c>
      <c r="H123" s="6">
        <v>0.19</v>
      </c>
      <c r="I123" s="6">
        <v>0.2</v>
      </c>
      <c r="J123" s="6">
        <v>0.22</v>
      </c>
      <c r="K123" s="6">
        <v>0.25</v>
      </c>
      <c r="L123" s="6">
        <v>0.3</v>
      </c>
      <c r="M123" s="6">
        <v>0.39</v>
      </c>
      <c r="N123" s="6">
        <v>0.55000000000000004</v>
      </c>
      <c r="O123" s="6">
        <v>0.18</v>
      </c>
      <c r="P123" s="6">
        <v>0.19</v>
      </c>
      <c r="Q123" s="6">
        <v>0.23</v>
      </c>
      <c r="R123" s="6">
        <v>0.33</v>
      </c>
      <c r="S123" s="6">
        <v>0.82</v>
      </c>
      <c r="T123" s="6">
        <v>1</v>
      </c>
      <c r="V123" s="4" t="s">
        <v>71</v>
      </c>
      <c r="W123" s="6">
        <v>0.24</v>
      </c>
      <c r="X123" s="6">
        <v>0.25</v>
      </c>
      <c r="Y123" s="6">
        <v>0.27</v>
      </c>
      <c r="Z123" s="6">
        <v>0.3</v>
      </c>
      <c r="AA123" s="6">
        <v>0.34</v>
      </c>
      <c r="AB123" s="6">
        <v>0.42</v>
      </c>
      <c r="AC123" s="6">
        <v>0.55000000000000004</v>
      </c>
      <c r="AD123" s="6">
        <v>0.24</v>
      </c>
      <c r="AE123" s="6">
        <v>0.26</v>
      </c>
      <c r="AF123" s="6">
        <v>0.31</v>
      </c>
      <c r="AG123" s="6">
        <v>0.45</v>
      </c>
      <c r="AH123" s="6">
        <v>0.8</v>
      </c>
      <c r="AI123" s="6">
        <v>1</v>
      </c>
      <c r="AK123" s="4" t="s">
        <v>71</v>
      </c>
      <c r="AL123" s="6">
        <v>0.25</v>
      </c>
      <c r="AM123" s="6">
        <v>0.26</v>
      </c>
      <c r="AN123" s="6">
        <v>0.28000000000000003</v>
      </c>
      <c r="AO123" s="6">
        <v>0.31</v>
      </c>
      <c r="AP123" s="6">
        <v>0.36</v>
      </c>
      <c r="AQ123" s="6">
        <v>0.43</v>
      </c>
      <c r="AR123" s="6">
        <v>0.55000000000000004</v>
      </c>
      <c r="AS123" s="6">
        <v>0.26</v>
      </c>
      <c r="AT123" s="6">
        <v>0.28000000000000003</v>
      </c>
      <c r="AU123" s="6">
        <v>0.34</v>
      </c>
      <c r="AV123" s="6">
        <v>0.51</v>
      </c>
      <c r="AW123" s="6">
        <v>0.87</v>
      </c>
      <c r="AX123" s="6">
        <v>1</v>
      </c>
      <c r="AZ123" s="4" t="s">
        <v>71</v>
      </c>
      <c r="BA123" s="6">
        <v>0.49</v>
      </c>
      <c r="BB123" s="6">
        <v>0.49</v>
      </c>
      <c r="BC123" s="6">
        <v>0.5</v>
      </c>
      <c r="BD123" s="6">
        <v>0.51</v>
      </c>
      <c r="BE123" s="6">
        <v>0.53</v>
      </c>
      <c r="BF123" s="6">
        <v>0.55000000000000004</v>
      </c>
      <c r="BG123" s="6">
        <v>0.55000000000000004</v>
      </c>
      <c r="BH123" s="6">
        <v>0.5</v>
      </c>
      <c r="BI123" s="6">
        <v>0.55000000000000004</v>
      </c>
      <c r="BJ123" s="6">
        <v>0.61</v>
      </c>
      <c r="BK123" s="6">
        <v>0.74</v>
      </c>
      <c r="BL123" s="6">
        <v>0.91</v>
      </c>
      <c r="BM123" s="6">
        <v>1</v>
      </c>
      <c r="BO123" s="4" t="s">
        <v>71</v>
      </c>
      <c r="BP123" s="6">
        <v>0.55000000000000004</v>
      </c>
      <c r="BQ123" s="6">
        <v>0.55000000000000004</v>
      </c>
      <c r="BR123" s="6">
        <v>0.55000000000000004</v>
      </c>
      <c r="BS123" s="6">
        <v>0.55000000000000004</v>
      </c>
      <c r="BT123" s="6">
        <v>0.56000000000000005</v>
      </c>
      <c r="BU123" s="6">
        <v>0.56000000000000005</v>
      </c>
      <c r="BV123" s="6">
        <v>0.55000000000000004</v>
      </c>
      <c r="BW123" s="6">
        <v>0.59</v>
      </c>
      <c r="BX123" s="6">
        <v>0.62</v>
      </c>
      <c r="BY123" s="6">
        <v>0.71</v>
      </c>
      <c r="BZ123" s="6">
        <v>0.83</v>
      </c>
      <c r="CA123" s="6">
        <v>0.96</v>
      </c>
      <c r="CB123" s="6">
        <v>1</v>
      </c>
      <c r="CD123" s="4" t="s">
        <v>71</v>
      </c>
      <c r="CE123" s="6">
        <v>0.97</v>
      </c>
      <c r="CF123" s="6">
        <v>0.97</v>
      </c>
      <c r="CG123" s="6">
        <v>0.98</v>
      </c>
      <c r="CH123" s="6">
        <v>0.97</v>
      </c>
      <c r="CI123" s="6">
        <v>0.94</v>
      </c>
      <c r="CJ123" s="6">
        <v>0.77</v>
      </c>
      <c r="CK123" s="6">
        <v>0.55000000000000004</v>
      </c>
      <c r="CL123" s="6">
        <v>0.98</v>
      </c>
      <c r="CM123" s="6">
        <v>0.98</v>
      </c>
      <c r="CN123" s="6">
        <v>0.99</v>
      </c>
      <c r="CO123" s="6">
        <v>0.99</v>
      </c>
      <c r="CP123" s="6">
        <v>1</v>
      </c>
      <c r="CQ123" s="6">
        <v>1</v>
      </c>
      <c r="CS123" s="4" t="s">
        <v>71</v>
      </c>
      <c r="CT123" s="6">
        <v>1</v>
      </c>
      <c r="CU123" s="6">
        <v>0.99</v>
      </c>
      <c r="CV123" s="6">
        <v>0.99</v>
      </c>
      <c r="CW123" s="6">
        <v>0.99</v>
      </c>
      <c r="CX123" s="6">
        <v>0.95</v>
      </c>
      <c r="CY123" s="6">
        <v>0.79</v>
      </c>
      <c r="CZ123" s="6">
        <v>0.55000000000000004</v>
      </c>
      <c r="DA123" s="6">
        <v>1</v>
      </c>
      <c r="DB123" s="6">
        <v>1</v>
      </c>
      <c r="DC123" s="6">
        <v>1</v>
      </c>
      <c r="DD123" s="6">
        <v>1</v>
      </c>
      <c r="DE123" s="6">
        <v>1</v>
      </c>
      <c r="DF123" s="6">
        <v>1</v>
      </c>
      <c r="DH123" s="4" t="s">
        <v>71</v>
      </c>
      <c r="DI123" s="6">
        <v>1</v>
      </c>
      <c r="DJ123" s="6">
        <v>1</v>
      </c>
      <c r="DK123" s="6">
        <v>1</v>
      </c>
      <c r="DL123" s="6">
        <v>1</v>
      </c>
      <c r="DM123" s="6">
        <v>1</v>
      </c>
      <c r="DN123" s="6">
        <v>0.95</v>
      </c>
      <c r="DO123" s="6">
        <v>0.55000000000000004</v>
      </c>
      <c r="DP123" s="6">
        <v>1</v>
      </c>
      <c r="DQ123" s="6">
        <v>1</v>
      </c>
      <c r="DR123" s="6">
        <v>1</v>
      </c>
      <c r="DS123" s="6">
        <v>1</v>
      </c>
      <c r="DT123" s="6">
        <v>1</v>
      </c>
      <c r="DU123" s="6">
        <v>1</v>
      </c>
    </row>
    <row r="124" spans="2:125" x14ac:dyDescent="0.3">
      <c r="G124" s="4" t="s">
        <v>73</v>
      </c>
      <c r="H124" s="6">
        <v>0.3</v>
      </c>
      <c r="I124" s="6">
        <v>0.31</v>
      </c>
      <c r="J124" s="6">
        <v>0.32</v>
      </c>
      <c r="K124" s="6">
        <v>0.36</v>
      </c>
      <c r="L124" s="6">
        <v>0.4</v>
      </c>
      <c r="M124" s="6">
        <v>0.47</v>
      </c>
      <c r="N124" s="6">
        <v>0.57999999999999996</v>
      </c>
      <c r="O124" s="6">
        <v>0.3</v>
      </c>
      <c r="P124" s="6">
        <v>0.33</v>
      </c>
      <c r="Q124" s="6">
        <v>0.42</v>
      </c>
      <c r="R124" s="6">
        <v>0.69</v>
      </c>
      <c r="S124" s="6">
        <v>0.99</v>
      </c>
      <c r="T124" s="6">
        <v>1</v>
      </c>
      <c r="V124" s="4" t="s">
        <v>73</v>
      </c>
      <c r="W124" s="6">
        <v>0.38</v>
      </c>
      <c r="X124" s="6">
        <v>0.38</v>
      </c>
      <c r="Y124" s="6">
        <v>0.4</v>
      </c>
      <c r="Z124" s="6">
        <v>0.42</v>
      </c>
      <c r="AA124" s="6">
        <v>0.45</v>
      </c>
      <c r="AB124" s="6">
        <v>0.51</v>
      </c>
      <c r="AC124" s="6">
        <v>0.57999999999999996</v>
      </c>
      <c r="AD124" s="6">
        <v>0.4</v>
      </c>
      <c r="AE124" s="6">
        <v>0.44</v>
      </c>
      <c r="AF124" s="6">
        <v>0.54</v>
      </c>
      <c r="AG124" s="6">
        <v>0.74</v>
      </c>
      <c r="AH124" s="6">
        <v>0.95</v>
      </c>
      <c r="AI124" s="6">
        <v>1</v>
      </c>
      <c r="AK124" s="4" t="s">
        <v>73</v>
      </c>
      <c r="AL124" s="6">
        <v>0.35</v>
      </c>
      <c r="AM124" s="6">
        <v>0.35</v>
      </c>
      <c r="AN124" s="6">
        <v>0.37</v>
      </c>
      <c r="AO124" s="6">
        <v>0.39</v>
      </c>
      <c r="AP124" s="6">
        <v>0.43</v>
      </c>
      <c r="AQ124" s="6">
        <v>0.49</v>
      </c>
      <c r="AR124" s="6">
        <v>0.57999999999999996</v>
      </c>
      <c r="AS124" s="6">
        <v>0.36</v>
      </c>
      <c r="AT124" s="6">
        <v>0.4</v>
      </c>
      <c r="AU124" s="6">
        <v>0.49</v>
      </c>
      <c r="AV124" s="6">
        <v>0.69</v>
      </c>
      <c r="AW124" s="6">
        <v>0.94</v>
      </c>
      <c r="AX124" s="6">
        <v>1</v>
      </c>
      <c r="AZ124" s="4" t="s">
        <v>73</v>
      </c>
      <c r="BA124" s="6">
        <v>0.61</v>
      </c>
      <c r="BB124" s="6">
        <v>0.6</v>
      </c>
      <c r="BC124" s="6">
        <v>0.6</v>
      </c>
      <c r="BD124" s="6">
        <v>0.6</v>
      </c>
      <c r="BE124" s="6">
        <v>0.6</v>
      </c>
      <c r="BF124" s="6">
        <v>0.59</v>
      </c>
      <c r="BG124" s="6">
        <v>0.57999999999999996</v>
      </c>
      <c r="BH124" s="6">
        <v>0.63</v>
      </c>
      <c r="BI124" s="6">
        <v>0.67</v>
      </c>
      <c r="BJ124" s="6">
        <v>0.76</v>
      </c>
      <c r="BK124" s="6">
        <v>0.86</v>
      </c>
      <c r="BL124" s="6">
        <v>0.97</v>
      </c>
      <c r="BM124" s="6">
        <v>1</v>
      </c>
      <c r="BO124" s="4" t="s">
        <v>73</v>
      </c>
      <c r="BP124" s="6">
        <v>0.54</v>
      </c>
      <c r="BQ124" s="6">
        <v>0.53</v>
      </c>
      <c r="BR124" s="6">
        <v>0.54</v>
      </c>
      <c r="BS124" s="6">
        <v>0.55000000000000004</v>
      </c>
      <c r="BT124" s="6">
        <v>0.56000000000000005</v>
      </c>
      <c r="BU124" s="6">
        <v>0.56999999999999995</v>
      </c>
      <c r="BV124" s="6">
        <v>0.57999999999999996</v>
      </c>
      <c r="BW124" s="6">
        <v>0.56999999999999995</v>
      </c>
      <c r="BX124" s="6">
        <v>0.61</v>
      </c>
      <c r="BY124" s="6">
        <v>0.7</v>
      </c>
      <c r="BZ124" s="6">
        <v>0.83</v>
      </c>
      <c r="CA124" s="6">
        <v>0.96</v>
      </c>
      <c r="CB124" s="6">
        <v>1</v>
      </c>
      <c r="CD124" s="4" t="s">
        <v>73</v>
      </c>
      <c r="CE124" s="6">
        <v>0.94</v>
      </c>
      <c r="CF124" s="6">
        <v>0.93</v>
      </c>
      <c r="CG124" s="6">
        <v>0.92</v>
      </c>
      <c r="CH124" s="6">
        <v>0.89</v>
      </c>
      <c r="CI124" s="6">
        <v>0.84</v>
      </c>
      <c r="CJ124" s="6">
        <v>0.71</v>
      </c>
      <c r="CK124" s="6">
        <v>0.57999999999999996</v>
      </c>
      <c r="CL124" s="6">
        <v>0.94</v>
      </c>
      <c r="CM124" s="6">
        <v>0.96</v>
      </c>
      <c r="CN124" s="6">
        <v>0.97</v>
      </c>
      <c r="CO124" s="6">
        <v>0.98</v>
      </c>
      <c r="CP124" s="6">
        <v>0.99</v>
      </c>
      <c r="CQ124" s="6">
        <v>1</v>
      </c>
      <c r="CS124" s="4" t="s">
        <v>73</v>
      </c>
      <c r="CT124" s="6">
        <v>0.91</v>
      </c>
      <c r="CU124" s="6">
        <v>0.91</v>
      </c>
      <c r="CV124" s="6">
        <v>0.89</v>
      </c>
      <c r="CW124" s="6">
        <v>0.86</v>
      </c>
      <c r="CX124" s="6">
        <v>0.8</v>
      </c>
      <c r="CY124" s="6">
        <v>0.69</v>
      </c>
      <c r="CZ124" s="6">
        <v>0.57999999999999996</v>
      </c>
      <c r="DA124" s="6">
        <v>0.93</v>
      </c>
      <c r="DB124" s="6">
        <v>0.95</v>
      </c>
      <c r="DC124" s="6">
        <v>0.96</v>
      </c>
      <c r="DD124" s="6">
        <v>0.98</v>
      </c>
      <c r="DE124" s="6">
        <v>1</v>
      </c>
      <c r="DF124" s="6">
        <v>1</v>
      </c>
      <c r="DH124" s="4" t="s">
        <v>73</v>
      </c>
      <c r="DI124" s="6">
        <v>1</v>
      </c>
      <c r="DJ124" s="6">
        <v>1</v>
      </c>
      <c r="DK124" s="6">
        <v>1</v>
      </c>
      <c r="DL124" s="6">
        <v>1</v>
      </c>
      <c r="DM124" s="6">
        <v>1</v>
      </c>
      <c r="DN124" s="6">
        <v>0.78</v>
      </c>
      <c r="DO124" s="6">
        <v>0.57999999999999996</v>
      </c>
      <c r="DP124" s="6">
        <v>1</v>
      </c>
      <c r="DQ124" s="6">
        <v>1</v>
      </c>
      <c r="DR124" s="6">
        <v>1</v>
      </c>
      <c r="DS124" s="6">
        <v>1</v>
      </c>
      <c r="DT124" s="6">
        <v>1</v>
      </c>
      <c r="DU124" s="6">
        <v>1</v>
      </c>
    </row>
    <row r="125" spans="2:125" x14ac:dyDescent="0.3">
      <c r="G125" s="4" t="s">
        <v>74</v>
      </c>
      <c r="H125" s="6">
        <v>0.35</v>
      </c>
      <c r="I125" s="6">
        <v>0.33</v>
      </c>
      <c r="J125" s="6">
        <v>0.34</v>
      </c>
      <c r="K125" s="6">
        <v>0.35</v>
      </c>
      <c r="L125" s="6">
        <v>0.38</v>
      </c>
      <c r="M125" s="6">
        <v>0.42</v>
      </c>
      <c r="N125" s="6">
        <v>0.49</v>
      </c>
      <c r="O125" s="6">
        <v>0.38</v>
      </c>
      <c r="P125" s="6">
        <v>0.46</v>
      </c>
      <c r="Q125" s="6">
        <v>0.67</v>
      </c>
      <c r="R125" s="6">
        <v>0.98</v>
      </c>
      <c r="S125" s="6">
        <v>1</v>
      </c>
      <c r="T125" s="6">
        <v>1</v>
      </c>
      <c r="V125" s="4" t="s">
        <v>74</v>
      </c>
      <c r="W125" s="6">
        <v>0.41</v>
      </c>
      <c r="X125" s="6">
        <v>0.39</v>
      </c>
      <c r="Y125" s="6">
        <v>0.39</v>
      </c>
      <c r="Z125" s="6">
        <v>0.4</v>
      </c>
      <c r="AA125" s="6">
        <v>0.42</v>
      </c>
      <c r="AB125" s="6">
        <v>0.45</v>
      </c>
      <c r="AC125" s="6">
        <v>0.49</v>
      </c>
      <c r="AD125" s="6">
        <v>0.45</v>
      </c>
      <c r="AE125" s="6">
        <v>0.52</v>
      </c>
      <c r="AF125" s="6">
        <v>0.67</v>
      </c>
      <c r="AG125" s="6">
        <v>0.87</v>
      </c>
      <c r="AH125" s="6">
        <v>0.98</v>
      </c>
      <c r="AI125" s="6">
        <v>1</v>
      </c>
      <c r="AK125" s="4" t="s">
        <v>74</v>
      </c>
      <c r="AL125" s="6">
        <v>0.38</v>
      </c>
      <c r="AM125" s="6">
        <v>0.37</v>
      </c>
      <c r="AN125" s="6">
        <v>0.37</v>
      </c>
      <c r="AO125" s="6">
        <v>0.38</v>
      </c>
      <c r="AP125" s="6">
        <v>0.4</v>
      </c>
      <c r="AQ125" s="6">
        <v>0.44</v>
      </c>
      <c r="AR125" s="6">
        <v>0.49</v>
      </c>
      <c r="AS125" s="6">
        <v>0.42</v>
      </c>
      <c r="AT125" s="6">
        <v>0.49</v>
      </c>
      <c r="AU125" s="6">
        <v>0.62</v>
      </c>
      <c r="AV125" s="6">
        <v>0.82</v>
      </c>
      <c r="AW125" s="6">
        <v>0.97</v>
      </c>
      <c r="AX125" s="6">
        <v>1</v>
      </c>
      <c r="AZ125" s="4" t="s">
        <v>74</v>
      </c>
      <c r="BA125" s="6">
        <v>0.56999999999999995</v>
      </c>
      <c r="BB125" s="6">
        <v>0.54</v>
      </c>
      <c r="BC125" s="6">
        <v>0.53</v>
      </c>
      <c r="BD125" s="6">
        <v>0.52</v>
      </c>
      <c r="BE125" s="6">
        <v>0.51</v>
      </c>
      <c r="BF125" s="6">
        <v>0.5</v>
      </c>
      <c r="BG125" s="6">
        <v>0.49</v>
      </c>
      <c r="BH125" s="6">
        <v>0.61</v>
      </c>
      <c r="BI125" s="6">
        <v>0.67</v>
      </c>
      <c r="BJ125" s="6">
        <v>0.76</v>
      </c>
      <c r="BK125" s="6">
        <v>0.88</v>
      </c>
      <c r="BL125" s="6">
        <v>0.97</v>
      </c>
      <c r="BM125" s="6">
        <v>1</v>
      </c>
      <c r="BO125" s="4" t="s">
        <v>74</v>
      </c>
      <c r="BP125" s="6">
        <v>0.53</v>
      </c>
      <c r="BQ125" s="6">
        <v>0.51</v>
      </c>
      <c r="BR125" s="6">
        <v>0.5</v>
      </c>
      <c r="BS125" s="6">
        <v>0.49</v>
      </c>
      <c r="BT125" s="6">
        <v>0.49</v>
      </c>
      <c r="BU125" s="6">
        <v>0.49</v>
      </c>
      <c r="BV125" s="6">
        <v>0.49</v>
      </c>
      <c r="BW125" s="6">
        <v>0.56000000000000005</v>
      </c>
      <c r="BX125" s="6">
        <v>0.62</v>
      </c>
      <c r="BY125" s="6">
        <v>0.71</v>
      </c>
      <c r="BZ125" s="6">
        <v>0.84</v>
      </c>
      <c r="CA125" s="6">
        <v>0.96</v>
      </c>
      <c r="CB125" s="6">
        <v>1</v>
      </c>
      <c r="CD125" s="4" t="s">
        <v>74</v>
      </c>
      <c r="CE125" s="6">
        <v>0.85</v>
      </c>
      <c r="CF125" s="6">
        <v>0.83</v>
      </c>
      <c r="CG125" s="6">
        <v>0.8</v>
      </c>
      <c r="CH125" s="6">
        <v>0.75</v>
      </c>
      <c r="CI125" s="6">
        <v>0.67</v>
      </c>
      <c r="CJ125" s="6">
        <v>0.56999999999999995</v>
      </c>
      <c r="CK125" s="6">
        <v>0.49</v>
      </c>
      <c r="CL125" s="6">
        <v>0.87</v>
      </c>
      <c r="CM125" s="6">
        <v>0.9</v>
      </c>
      <c r="CN125" s="6">
        <v>0.93</v>
      </c>
      <c r="CO125" s="6">
        <v>0.96</v>
      </c>
      <c r="CP125" s="6">
        <v>0.99</v>
      </c>
      <c r="CQ125" s="6">
        <v>1</v>
      </c>
      <c r="CS125" s="4" t="s">
        <v>74</v>
      </c>
      <c r="CT125" s="6">
        <v>0.82</v>
      </c>
      <c r="CU125" s="6">
        <v>0.8</v>
      </c>
      <c r="CV125" s="6">
        <v>0.77</v>
      </c>
      <c r="CW125" s="6">
        <v>0.73</v>
      </c>
      <c r="CX125" s="6">
        <v>0.66</v>
      </c>
      <c r="CY125" s="6">
        <v>0.56000000000000005</v>
      </c>
      <c r="CZ125" s="6">
        <v>0.49</v>
      </c>
      <c r="DA125" s="6">
        <v>0.85</v>
      </c>
      <c r="DB125" s="6">
        <v>0.89</v>
      </c>
      <c r="DC125" s="6">
        <v>0.92</v>
      </c>
      <c r="DD125" s="6">
        <v>0.96</v>
      </c>
      <c r="DE125" s="6">
        <v>0.99</v>
      </c>
      <c r="DF125" s="6">
        <v>1</v>
      </c>
      <c r="DH125" s="4" t="s">
        <v>74</v>
      </c>
      <c r="DI125" s="6">
        <v>1</v>
      </c>
      <c r="DJ125" s="6">
        <v>1</v>
      </c>
      <c r="DK125" s="6">
        <v>1</v>
      </c>
      <c r="DL125" s="6">
        <v>1</v>
      </c>
      <c r="DM125" s="6">
        <v>0.82</v>
      </c>
      <c r="DN125" s="6">
        <v>0.61</v>
      </c>
      <c r="DO125" s="6">
        <v>0.49</v>
      </c>
      <c r="DP125" s="6">
        <v>1</v>
      </c>
      <c r="DQ125" s="6">
        <v>1</v>
      </c>
      <c r="DR125" s="6">
        <v>1</v>
      </c>
      <c r="DS125" s="6">
        <v>1</v>
      </c>
      <c r="DT125" s="6">
        <v>1</v>
      </c>
      <c r="DU125" s="6">
        <v>1</v>
      </c>
    </row>
    <row r="126" spans="2:125" x14ac:dyDescent="0.3">
      <c r="G126" s="4" t="s">
        <v>75</v>
      </c>
      <c r="H126" s="6">
        <v>0.36</v>
      </c>
      <c r="I126" s="6">
        <v>0.32</v>
      </c>
      <c r="J126" s="6">
        <v>0.3</v>
      </c>
      <c r="K126" s="6">
        <v>0.3</v>
      </c>
      <c r="L126" s="6">
        <v>0.31</v>
      </c>
      <c r="M126" s="6">
        <v>0.33</v>
      </c>
      <c r="N126" s="6">
        <v>0.36</v>
      </c>
      <c r="O126" s="6">
        <v>0.44</v>
      </c>
      <c r="P126" s="6">
        <v>0.62</v>
      </c>
      <c r="Q126" s="6">
        <v>0.98</v>
      </c>
      <c r="R126" s="6">
        <v>1</v>
      </c>
      <c r="S126" s="6">
        <v>1</v>
      </c>
      <c r="T126" s="6">
        <v>1</v>
      </c>
      <c r="V126" s="4" t="s">
        <v>75</v>
      </c>
      <c r="W126" s="6">
        <v>0.36</v>
      </c>
      <c r="X126" s="6">
        <v>0.33</v>
      </c>
      <c r="Y126" s="6">
        <v>0.32</v>
      </c>
      <c r="Z126" s="6">
        <v>0.31</v>
      </c>
      <c r="AA126" s="6">
        <v>0.32</v>
      </c>
      <c r="AB126" s="6">
        <v>0.33</v>
      </c>
      <c r="AC126" s="6">
        <v>0.36</v>
      </c>
      <c r="AD126" s="6">
        <v>0.42</v>
      </c>
      <c r="AE126" s="6">
        <v>0.51</v>
      </c>
      <c r="AF126" s="6">
        <v>0.68</v>
      </c>
      <c r="AG126" s="6">
        <v>0.88</v>
      </c>
      <c r="AH126" s="6">
        <v>0.99</v>
      </c>
      <c r="AI126" s="6">
        <v>1</v>
      </c>
      <c r="AK126" s="4" t="s">
        <v>75</v>
      </c>
      <c r="AL126" s="6">
        <v>0.39</v>
      </c>
      <c r="AM126" s="6">
        <v>0.36</v>
      </c>
      <c r="AN126" s="6">
        <v>0.34</v>
      </c>
      <c r="AO126" s="6">
        <v>0.33</v>
      </c>
      <c r="AP126" s="6">
        <v>0.33</v>
      </c>
      <c r="AQ126" s="6">
        <v>0.34</v>
      </c>
      <c r="AR126" s="6">
        <v>0.36</v>
      </c>
      <c r="AS126" s="6">
        <v>0.46</v>
      </c>
      <c r="AT126" s="6">
        <v>0.56999999999999995</v>
      </c>
      <c r="AU126" s="6">
        <v>0.75</v>
      </c>
      <c r="AV126" s="6">
        <v>0.93</v>
      </c>
      <c r="AW126" s="6">
        <v>1</v>
      </c>
      <c r="AX126" s="6">
        <v>1</v>
      </c>
      <c r="AZ126" s="4" t="s">
        <v>75</v>
      </c>
      <c r="BA126" s="6">
        <v>0.43</v>
      </c>
      <c r="BB126" s="6">
        <v>0.4</v>
      </c>
      <c r="BC126" s="6">
        <v>0.39</v>
      </c>
      <c r="BD126" s="6">
        <v>0.38</v>
      </c>
      <c r="BE126" s="6">
        <v>0.37</v>
      </c>
      <c r="BF126" s="6">
        <v>0.36</v>
      </c>
      <c r="BG126" s="6">
        <v>0.36</v>
      </c>
      <c r="BH126" s="6">
        <v>0.48</v>
      </c>
      <c r="BI126" s="6">
        <v>0.55000000000000004</v>
      </c>
      <c r="BJ126" s="6">
        <v>0.66</v>
      </c>
      <c r="BK126" s="6">
        <v>0.81</v>
      </c>
      <c r="BL126" s="6">
        <v>0.96</v>
      </c>
      <c r="BM126" s="6">
        <v>1</v>
      </c>
      <c r="BO126" s="4" t="s">
        <v>75</v>
      </c>
      <c r="BP126" s="6">
        <v>0.5</v>
      </c>
      <c r="BQ126" s="6">
        <v>0.46</v>
      </c>
      <c r="BR126" s="6">
        <v>0.43</v>
      </c>
      <c r="BS126" s="6">
        <v>0.41</v>
      </c>
      <c r="BT126" s="6">
        <v>0.4</v>
      </c>
      <c r="BU126" s="6">
        <v>0.38</v>
      </c>
      <c r="BV126" s="6">
        <v>0.36</v>
      </c>
      <c r="BW126" s="6">
        <v>0.55000000000000004</v>
      </c>
      <c r="BX126" s="6">
        <v>0.64</v>
      </c>
      <c r="BY126" s="6">
        <v>0.76</v>
      </c>
      <c r="BZ126" s="6">
        <v>0.89</v>
      </c>
      <c r="CA126" s="6">
        <v>0.98</v>
      </c>
      <c r="CB126" s="6">
        <v>1</v>
      </c>
      <c r="CD126" s="4" t="s">
        <v>75</v>
      </c>
      <c r="CE126" s="6">
        <v>0.66</v>
      </c>
      <c r="CF126" s="6">
        <v>0.62</v>
      </c>
      <c r="CG126" s="6">
        <v>0.57999999999999996</v>
      </c>
      <c r="CH126" s="6">
        <v>0.53</v>
      </c>
      <c r="CI126" s="6">
        <v>0.47</v>
      </c>
      <c r="CJ126" s="6">
        <v>0.41</v>
      </c>
      <c r="CK126" s="6">
        <v>0.36</v>
      </c>
      <c r="CL126" s="6">
        <v>0.7</v>
      </c>
      <c r="CM126" s="6">
        <v>0.76</v>
      </c>
      <c r="CN126" s="6">
        <v>0.83</v>
      </c>
      <c r="CO126" s="6">
        <v>0.91</v>
      </c>
      <c r="CP126" s="6">
        <v>0.98</v>
      </c>
      <c r="CQ126" s="6">
        <v>1</v>
      </c>
      <c r="CS126" s="4" t="s">
        <v>75</v>
      </c>
      <c r="CT126" s="6">
        <v>0.75</v>
      </c>
      <c r="CU126" s="6">
        <v>0.7</v>
      </c>
      <c r="CV126" s="6">
        <v>0.65</v>
      </c>
      <c r="CW126" s="6">
        <v>0.59</v>
      </c>
      <c r="CX126" s="6">
        <v>0.5</v>
      </c>
      <c r="CY126" s="6">
        <v>0.42</v>
      </c>
      <c r="CZ126" s="6">
        <v>0.36</v>
      </c>
      <c r="DA126" s="6">
        <v>0.8</v>
      </c>
      <c r="DB126" s="6">
        <v>0.85</v>
      </c>
      <c r="DC126" s="6">
        <v>0.92</v>
      </c>
      <c r="DD126" s="6">
        <v>0.96</v>
      </c>
      <c r="DE126" s="6">
        <v>0.99</v>
      </c>
      <c r="DF126" s="6">
        <v>1</v>
      </c>
      <c r="DH126" s="4" t="s">
        <v>75</v>
      </c>
      <c r="DI126" s="6">
        <v>0.97</v>
      </c>
      <c r="DJ126" s="6">
        <v>0.96</v>
      </c>
      <c r="DK126" s="6">
        <v>0.94</v>
      </c>
      <c r="DL126" s="6">
        <v>0.82</v>
      </c>
      <c r="DM126" s="6">
        <v>0.56000000000000005</v>
      </c>
      <c r="DN126" s="6">
        <v>0.43</v>
      </c>
      <c r="DO126" s="6">
        <v>0.36</v>
      </c>
      <c r="DP126" s="6">
        <v>0.98</v>
      </c>
      <c r="DQ126" s="6">
        <v>0.99</v>
      </c>
      <c r="DR126" s="6">
        <v>0.99</v>
      </c>
      <c r="DS126" s="6">
        <v>1</v>
      </c>
      <c r="DT126" s="6">
        <v>1</v>
      </c>
      <c r="DU126" s="6">
        <v>1</v>
      </c>
    </row>
    <row r="127" spans="2:125" x14ac:dyDescent="0.3">
      <c r="G127" s="4" t="s">
        <v>76</v>
      </c>
      <c r="H127" s="6">
        <v>0.46</v>
      </c>
      <c r="I127" s="6">
        <v>0.39</v>
      </c>
      <c r="J127" s="6">
        <v>0.35</v>
      </c>
      <c r="K127" s="6">
        <v>0.33</v>
      </c>
      <c r="L127" s="6">
        <v>0.32</v>
      </c>
      <c r="M127" s="6">
        <v>0.33</v>
      </c>
      <c r="N127" s="6">
        <v>0.34</v>
      </c>
      <c r="O127" s="6">
        <v>0.61</v>
      </c>
      <c r="P127" s="6">
        <v>0.92</v>
      </c>
      <c r="Q127" s="6">
        <v>1</v>
      </c>
      <c r="R127" s="6">
        <v>1</v>
      </c>
      <c r="S127" s="6">
        <v>1</v>
      </c>
      <c r="T127" s="6">
        <v>1</v>
      </c>
      <c r="V127" s="4" t="s">
        <v>76</v>
      </c>
      <c r="W127" s="6">
        <v>0.44</v>
      </c>
      <c r="X127" s="6">
        <v>0.38</v>
      </c>
      <c r="Y127" s="6">
        <v>0.35</v>
      </c>
      <c r="Z127" s="6">
        <v>0.33</v>
      </c>
      <c r="AA127" s="6">
        <v>0.33</v>
      </c>
      <c r="AB127" s="6">
        <v>0.33</v>
      </c>
      <c r="AC127" s="6">
        <v>0.34</v>
      </c>
      <c r="AD127" s="6">
        <v>0.53</v>
      </c>
      <c r="AE127" s="6">
        <v>0.67</v>
      </c>
      <c r="AF127" s="6">
        <v>0.86</v>
      </c>
      <c r="AG127" s="6">
        <v>0.98</v>
      </c>
      <c r="AH127" s="6">
        <v>1</v>
      </c>
      <c r="AI127" s="6">
        <v>1</v>
      </c>
      <c r="AK127" s="4" t="s">
        <v>76</v>
      </c>
      <c r="AL127" s="6">
        <v>0.47</v>
      </c>
      <c r="AM127" s="6">
        <v>0.41</v>
      </c>
      <c r="AN127" s="6">
        <v>0.37</v>
      </c>
      <c r="AO127" s="6">
        <v>0.35</v>
      </c>
      <c r="AP127" s="6">
        <v>0.34</v>
      </c>
      <c r="AQ127" s="6">
        <v>0.34</v>
      </c>
      <c r="AR127" s="6">
        <v>0.34</v>
      </c>
      <c r="AS127" s="6">
        <v>0.56999999999999995</v>
      </c>
      <c r="AT127" s="6">
        <v>0.73</v>
      </c>
      <c r="AU127" s="6">
        <v>0.91</v>
      </c>
      <c r="AV127" s="6">
        <v>0.99</v>
      </c>
      <c r="AW127" s="6">
        <v>1</v>
      </c>
      <c r="AX127" s="6">
        <v>1</v>
      </c>
      <c r="AZ127" s="4" t="s">
        <v>76</v>
      </c>
      <c r="BA127" s="6">
        <v>0.47</v>
      </c>
      <c r="BB127" s="6">
        <v>0.43</v>
      </c>
      <c r="BC127" s="6">
        <v>0.4</v>
      </c>
      <c r="BD127" s="6">
        <v>0.37</v>
      </c>
      <c r="BE127" s="6">
        <v>0.36</v>
      </c>
      <c r="BF127" s="6">
        <v>0.35</v>
      </c>
      <c r="BG127" s="6">
        <v>0.34</v>
      </c>
      <c r="BH127" s="6">
        <v>0.54</v>
      </c>
      <c r="BI127" s="6">
        <v>0.63</v>
      </c>
      <c r="BJ127" s="6">
        <v>0.76</v>
      </c>
      <c r="BK127" s="6">
        <v>0.89</v>
      </c>
      <c r="BL127" s="6">
        <v>0.98</v>
      </c>
      <c r="BM127" s="6">
        <v>1</v>
      </c>
      <c r="BO127" s="4" t="s">
        <v>76</v>
      </c>
      <c r="BP127" s="6">
        <v>0.54</v>
      </c>
      <c r="BQ127" s="6">
        <v>0.49</v>
      </c>
      <c r="BR127" s="6">
        <v>0.45</v>
      </c>
      <c r="BS127" s="6">
        <v>0.41</v>
      </c>
      <c r="BT127" s="6">
        <v>0.38</v>
      </c>
      <c r="BU127" s="6">
        <v>0.36</v>
      </c>
      <c r="BV127" s="6">
        <v>0.34</v>
      </c>
      <c r="BW127" s="6">
        <v>0.62</v>
      </c>
      <c r="BX127" s="6">
        <v>0.73</v>
      </c>
      <c r="BY127" s="6">
        <v>0.84</v>
      </c>
      <c r="BZ127" s="6">
        <v>0.94</v>
      </c>
      <c r="CA127" s="6">
        <v>0.99</v>
      </c>
      <c r="CB127" s="6">
        <v>1</v>
      </c>
      <c r="CD127" s="4" t="s">
        <v>76</v>
      </c>
      <c r="CE127" s="6">
        <v>0.65</v>
      </c>
      <c r="CF127" s="6">
        <v>0.59</v>
      </c>
      <c r="CG127" s="6">
        <v>0.54</v>
      </c>
      <c r="CH127" s="6">
        <v>0.48</v>
      </c>
      <c r="CI127" s="6">
        <v>0.41</v>
      </c>
      <c r="CJ127" s="6">
        <v>0.37</v>
      </c>
      <c r="CK127" s="6">
        <v>0.34</v>
      </c>
      <c r="CL127" s="6">
        <v>0.7</v>
      </c>
      <c r="CM127" s="6">
        <v>0.77</v>
      </c>
      <c r="CN127" s="6">
        <v>0.84</v>
      </c>
      <c r="CO127" s="6">
        <v>0.92</v>
      </c>
      <c r="CP127" s="6">
        <v>0.98</v>
      </c>
      <c r="CQ127" s="6">
        <v>1</v>
      </c>
      <c r="CS127" s="4" t="s">
        <v>76</v>
      </c>
      <c r="CT127" s="6">
        <v>0.74</v>
      </c>
      <c r="CU127" s="6">
        <v>0.68</v>
      </c>
      <c r="CV127" s="6">
        <v>0.61</v>
      </c>
      <c r="CW127" s="6">
        <v>0.53</v>
      </c>
      <c r="CX127" s="6">
        <v>0.44</v>
      </c>
      <c r="CY127" s="6">
        <v>0.38</v>
      </c>
      <c r="CZ127" s="6">
        <v>0.34</v>
      </c>
      <c r="DA127" s="6">
        <v>0.8</v>
      </c>
      <c r="DB127" s="6">
        <v>0.86</v>
      </c>
      <c r="DC127" s="6">
        <v>0.92</v>
      </c>
      <c r="DD127" s="6">
        <v>0.97</v>
      </c>
      <c r="DE127" s="6">
        <v>1</v>
      </c>
      <c r="DF127" s="6">
        <v>1</v>
      </c>
      <c r="DH127" s="4" t="s">
        <v>76</v>
      </c>
      <c r="DI127" s="6">
        <v>0.91</v>
      </c>
      <c r="DJ127" s="6">
        <v>0.88</v>
      </c>
      <c r="DK127" s="6">
        <v>0.8</v>
      </c>
      <c r="DL127" s="6">
        <v>0.57999999999999996</v>
      </c>
      <c r="DM127" s="6">
        <v>0.46</v>
      </c>
      <c r="DN127" s="6">
        <v>0.39</v>
      </c>
      <c r="DO127" s="6">
        <v>0.34</v>
      </c>
      <c r="DP127" s="6">
        <v>0.93</v>
      </c>
      <c r="DQ127" s="6">
        <v>0.95</v>
      </c>
      <c r="DR127" s="6">
        <v>0.97</v>
      </c>
      <c r="DS127" s="6">
        <v>0.98</v>
      </c>
      <c r="DT127" s="6">
        <v>1</v>
      </c>
      <c r="DU127" s="6">
        <v>1</v>
      </c>
    </row>
    <row r="128" spans="2:125" x14ac:dyDescent="0.3">
      <c r="G128" s="4" t="s">
        <v>77</v>
      </c>
      <c r="H128" s="6">
        <v>0.56000000000000005</v>
      </c>
      <c r="I128" s="6">
        <v>0.47</v>
      </c>
      <c r="J128" s="6">
        <v>0.41</v>
      </c>
      <c r="K128" s="6">
        <v>0.38</v>
      </c>
      <c r="L128" s="6">
        <v>0.37</v>
      </c>
      <c r="M128" s="6">
        <v>0.37</v>
      </c>
      <c r="N128" s="6">
        <v>0.37</v>
      </c>
      <c r="O128" s="6">
        <v>0.75</v>
      </c>
      <c r="P128" s="6">
        <v>1</v>
      </c>
      <c r="Q128" s="6">
        <v>1</v>
      </c>
      <c r="R128" s="6">
        <v>1</v>
      </c>
      <c r="S128" s="6">
        <v>1</v>
      </c>
      <c r="T128" s="6">
        <v>1</v>
      </c>
      <c r="V128" s="4" t="s">
        <v>77</v>
      </c>
      <c r="W128" s="6">
        <v>0.49</v>
      </c>
      <c r="X128" s="6">
        <v>0.43</v>
      </c>
      <c r="Y128" s="6">
        <v>0.4</v>
      </c>
      <c r="Z128" s="6">
        <v>0.38</v>
      </c>
      <c r="AA128" s="6">
        <v>0.37</v>
      </c>
      <c r="AB128" s="6">
        <v>0.37</v>
      </c>
      <c r="AC128" s="6">
        <v>0.37</v>
      </c>
      <c r="AD128" s="6">
        <v>0.59</v>
      </c>
      <c r="AE128" s="6">
        <v>0.74</v>
      </c>
      <c r="AF128" s="6">
        <v>0.92</v>
      </c>
      <c r="AG128" s="6">
        <v>1</v>
      </c>
      <c r="AH128" s="6">
        <v>1</v>
      </c>
      <c r="AI128" s="6">
        <v>1</v>
      </c>
      <c r="AK128" s="4" t="s">
        <v>77</v>
      </c>
      <c r="AL128" s="6">
        <v>0.53</v>
      </c>
      <c r="AM128" s="6">
        <v>0.46</v>
      </c>
      <c r="AN128" s="6">
        <v>0.42</v>
      </c>
      <c r="AO128" s="6">
        <v>0.39</v>
      </c>
      <c r="AP128" s="6">
        <v>0.38</v>
      </c>
      <c r="AQ128" s="6">
        <v>0.37</v>
      </c>
      <c r="AR128" s="6">
        <v>0.37</v>
      </c>
      <c r="AS128" s="6">
        <v>0.63</v>
      </c>
      <c r="AT128" s="6">
        <v>0.77</v>
      </c>
      <c r="AU128" s="6">
        <v>0.93</v>
      </c>
      <c r="AV128" s="6">
        <v>1</v>
      </c>
      <c r="AW128" s="6">
        <v>1</v>
      </c>
      <c r="AX128" s="6">
        <v>1</v>
      </c>
      <c r="AZ128" s="4" t="s">
        <v>77</v>
      </c>
      <c r="BA128" s="6">
        <v>0.49</v>
      </c>
      <c r="BB128" s="6">
        <v>0.45</v>
      </c>
      <c r="BC128" s="6">
        <v>0.42</v>
      </c>
      <c r="BD128" s="6">
        <v>0.4</v>
      </c>
      <c r="BE128" s="6">
        <v>0.39</v>
      </c>
      <c r="BF128" s="6">
        <v>0.38</v>
      </c>
      <c r="BG128" s="6">
        <v>0.37</v>
      </c>
      <c r="BH128" s="6">
        <v>0.56000000000000005</v>
      </c>
      <c r="BI128" s="6">
        <v>0.65</v>
      </c>
      <c r="BJ128" s="6">
        <v>0.77</v>
      </c>
      <c r="BK128" s="6">
        <v>0.91</v>
      </c>
      <c r="BL128" s="6">
        <v>0.99</v>
      </c>
      <c r="BM128" s="6">
        <v>1</v>
      </c>
      <c r="BO128" s="4" t="s">
        <v>77</v>
      </c>
      <c r="BP128" s="6">
        <v>0.53</v>
      </c>
      <c r="BQ128" s="6">
        <v>0.49</v>
      </c>
      <c r="BR128" s="6">
        <v>0.46</v>
      </c>
      <c r="BS128" s="6">
        <v>0.43</v>
      </c>
      <c r="BT128" s="6">
        <v>0.41</v>
      </c>
      <c r="BU128" s="6">
        <v>0.39</v>
      </c>
      <c r="BV128" s="6">
        <v>0.37</v>
      </c>
      <c r="BW128" s="6">
        <v>0.59</v>
      </c>
      <c r="BX128" s="6">
        <v>0.68</v>
      </c>
      <c r="BY128" s="6">
        <v>0.79</v>
      </c>
      <c r="BZ128" s="6">
        <v>0.91</v>
      </c>
      <c r="CA128" s="6">
        <v>0.99</v>
      </c>
      <c r="CB128" s="6">
        <v>1</v>
      </c>
      <c r="CD128" s="4" t="s">
        <v>77</v>
      </c>
      <c r="CE128" s="6">
        <v>0.63</v>
      </c>
      <c r="CF128" s="6">
        <v>0.57999999999999996</v>
      </c>
      <c r="CG128" s="6">
        <v>0.53</v>
      </c>
      <c r="CH128" s="6">
        <v>0.48</v>
      </c>
      <c r="CI128" s="6">
        <v>0.43</v>
      </c>
      <c r="CJ128" s="6">
        <v>0.39</v>
      </c>
      <c r="CK128" s="6">
        <v>0.37</v>
      </c>
      <c r="CL128" s="6">
        <v>0.69</v>
      </c>
      <c r="CM128" s="6">
        <v>0.75</v>
      </c>
      <c r="CN128" s="6">
        <v>0.84</v>
      </c>
      <c r="CO128" s="6">
        <v>0.92</v>
      </c>
      <c r="CP128" s="6">
        <v>0.98</v>
      </c>
      <c r="CQ128" s="6">
        <v>1</v>
      </c>
      <c r="CS128" s="4" t="s">
        <v>77</v>
      </c>
      <c r="CT128" s="6">
        <v>0.66</v>
      </c>
      <c r="CU128" s="6">
        <v>0.61</v>
      </c>
      <c r="CV128" s="6">
        <v>0.56999999999999995</v>
      </c>
      <c r="CW128" s="6">
        <v>0.51</v>
      </c>
      <c r="CX128" s="6">
        <v>0.45</v>
      </c>
      <c r="CY128" s="6">
        <v>0.4</v>
      </c>
      <c r="CZ128" s="6">
        <v>0.37</v>
      </c>
      <c r="DA128" s="6">
        <v>0.71</v>
      </c>
      <c r="DB128" s="6">
        <v>0.78</v>
      </c>
      <c r="DC128" s="6">
        <v>0.85</v>
      </c>
      <c r="DD128" s="6">
        <v>0.94</v>
      </c>
      <c r="DE128" s="6">
        <v>0.99</v>
      </c>
      <c r="DF128" s="6">
        <v>1</v>
      </c>
      <c r="DH128" s="4" t="s">
        <v>77</v>
      </c>
      <c r="DI128" s="6">
        <v>0.84</v>
      </c>
      <c r="DJ128" s="6">
        <v>0.8</v>
      </c>
      <c r="DK128" s="6">
        <v>0.69</v>
      </c>
      <c r="DL128" s="6">
        <v>0.53</v>
      </c>
      <c r="DM128" s="6">
        <v>0.45</v>
      </c>
      <c r="DN128" s="6">
        <v>0.4</v>
      </c>
      <c r="DO128" s="6">
        <v>0.37</v>
      </c>
      <c r="DP128" s="6">
        <v>0.88</v>
      </c>
      <c r="DQ128" s="6">
        <v>0.92</v>
      </c>
      <c r="DR128" s="6">
        <v>0.95</v>
      </c>
      <c r="DS128" s="6">
        <v>0.97</v>
      </c>
      <c r="DT128" s="6">
        <v>0.99</v>
      </c>
      <c r="DU128" s="6">
        <v>1</v>
      </c>
    </row>
    <row r="129" spans="4:125" x14ac:dyDescent="0.3">
      <c r="G129" s="4" t="s">
        <v>78</v>
      </c>
      <c r="H129" s="6">
        <v>0.56000000000000005</v>
      </c>
      <c r="I129" s="6">
        <v>0.47</v>
      </c>
      <c r="J129" s="6">
        <v>0.43</v>
      </c>
      <c r="K129" s="6">
        <v>0.4</v>
      </c>
      <c r="L129" s="6">
        <v>0.39</v>
      </c>
      <c r="M129" s="6">
        <v>0.39</v>
      </c>
      <c r="N129" s="6">
        <v>0.41</v>
      </c>
      <c r="O129" s="6">
        <v>0.72</v>
      </c>
      <c r="P129" s="6">
        <v>0.98</v>
      </c>
      <c r="Q129" s="6">
        <v>1</v>
      </c>
      <c r="R129" s="6">
        <v>1</v>
      </c>
      <c r="S129" s="6">
        <v>1</v>
      </c>
      <c r="T129" s="6">
        <v>1</v>
      </c>
      <c r="V129" s="4" t="s">
        <v>78</v>
      </c>
      <c r="W129" s="6">
        <v>0.53</v>
      </c>
      <c r="X129" s="6">
        <v>0.47</v>
      </c>
      <c r="Y129" s="6">
        <v>0.43</v>
      </c>
      <c r="Z129" s="6">
        <v>0.41</v>
      </c>
      <c r="AA129" s="6">
        <v>0.4</v>
      </c>
      <c r="AB129" s="6">
        <v>0.4</v>
      </c>
      <c r="AC129" s="6">
        <v>0.41</v>
      </c>
      <c r="AD129" s="6">
        <v>0.62</v>
      </c>
      <c r="AE129" s="6">
        <v>0.75</v>
      </c>
      <c r="AF129" s="6">
        <v>0.91</v>
      </c>
      <c r="AG129" s="6">
        <v>0.99</v>
      </c>
      <c r="AH129" s="6">
        <v>1</v>
      </c>
      <c r="AI129" s="6">
        <v>1</v>
      </c>
      <c r="AK129" s="4" t="s">
        <v>78</v>
      </c>
      <c r="AL129" s="6">
        <v>0.51</v>
      </c>
      <c r="AM129" s="6">
        <v>0.46</v>
      </c>
      <c r="AN129" s="6">
        <v>0.42</v>
      </c>
      <c r="AO129" s="6">
        <v>0.41</v>
      </c>
      <c r="AP129" s="6">
        <v>0.4</v>
      </c>
      <c r="AQ129" s="6">
        <v>0.4</v>
      </c>
      <c r="AR129" s="6">
        <v>0.41</v>
      </c>
      <c r="AS129" s="6">
        <v>0.61</v>
      </c>
      <c r="AT129" s="6">
        <v>0.75</v>
      </c>
      <c r="AU129" s="6">
        <v>0.92</v>
      </c>
      <c r="AV129" s="6">
        <v>0.99</v>
      </c>
      <c r="AW129" s="6">
        <v>1</v>
      </c>
      <c r="AX129" s="6">
        <v>1</v>
      </c>
      <c r="AZ129" s="4" t="s">
        <v>78</v>
      </c>
      <c r="BA129" s="6">
        <v>0.55000000000000004</v>
      </c>
      <c r="BB129" s="6">
        <v>0.51</v>
      </c>
      <c r="BC129" s="6">
        <v>0.48</v>
      </c>
      <c r="BD129" s="6">
        <v>0.45</v>
      </c>
      <c r="BE129" s="6">
        <v>0.43</v>
      </c>
      <c r="BF129" s="6">
        <v>0.42</v>
      </c>
      <c r="BG129" s="6">
        <v>0.41</v>
      </c>
      <c r="BH129" s="6">
        <v>0.6</v>
      </c>
      <c r="BI129" s="6">
        <v>0.69</v>
      </c>
      <c r="BJ129" s="6">
        <v>0.79</v>
      </c>
      <c r="BK129" s="6">
        <v>0.91</v>
      </c>
      <c r="BL129" s="6">
        <v>0.99</v>
      </c>
      <c r="BM129" s="6">
        <v>1</v>
      </c>
      <c r="BO129" s="4" t="s">
        <v>78</v>
      </c>
      <c r="BP129" s="6">
        <v>0.54</v>
      </c>
      <c r="BQ129" s="6">
        <v>0.49</v>
      </c>
      <c r="BR129" s="6">
        <v>0.47</v>
      </c>
      <c r="BS129" s="6">
        <v>0.44</v>
      </c>
      <c r="BT129" s="6">
        <v>0.43</v>
      </c>
      <c r="BU129" s="6">
        <v>0.42</v>
      </c>
      <c r="BV129" s="6">
        <v>0.41</v>
      </c>
      <c r="BW129" s="6">
        <v>0.6</v>
      </c>
      <c r="BX129" s="6">
        <v>0.69</v>
      </c>
      <c r="BY129" s="6">
        <v>0.8</v>
      </c>
      <c r="BZ129" s="6">
        <v>0.92</v>
      </c>
      <c r="CA129" s="6">
        <v>0.99</v>
      </c>
      <c r="CB129" s="6">
        <v>1</v>
      </c>
      <c r="CD129" s="4" t="s">
        <v>78</v>
      </c>
      <c r="CE129" s="6">
        <v>0.69</v>
      </c>
      <c r="CF129" s="6">
        <v>0.65</v>
      </c>
      <c r="CG129" s="6">
        <v>0.6</v>
      </c>
      <c r="CH129" s="6">
        <v>0.54</v>
      </c>
      <c r="CI129" s="6">
        <v>0.48</v>
      </c>
      <c r="CJ129" s="6">
        <v>0.44</v>
      </c>
      <c r="CK129" s="6">
        <v>0.41</v>
      </c>
      <c r="CL129" s="6">
        <v>0.74</v>
      </c>
      <c r="CM129" s="6">
        <v>0.79</v>
      </c>
      <c r="CN129" s="6">
        <v>0.86</v>
      </c>
      <c r="CO129" s="6">
        <v>0.93</v>
      </c>
      <c r="CP129" s="6">
        <v>0.99</v>
      </c>
      <c r="CQ129" s="6">
        <v>1</v>
      </c>
      <c r="CS129" s="4" t="s">
        <v>78</v>
      </c>
      <c r="CT129" s="6">
        <v>0.69</v>
      </c>
      <c r="CU129" s="6">
        <v>0.64</v>
      </c>
      <c r="CV129" s="6">
        <v>0.59</v>
      </c>
      <c r="CW129" s="6">
        <v>0.53</v>
      </c>
      <c r="CX129" s="6">
        <v>0.48</v>
      </c>
      <c r="CY129" s="6">
        <v>0.43</v>
      </c>
      <c r="CZ129" s="6">
        <v>0.41</v>
      </c>
      <c r="DA129" s="6">
        <v>0.74</v>
      </c>
      <c r="DB129" s="6">
        <v>0.8</v>
      </c>
      <c r="DC129" s="6">
        <v>0.88</v>
      </c>
      <c r="DD129" s="6">
        <v>0.95</v>
      </c>
      <c r="DE129" s="6">
        <v>0.99</v>
      </c>
      <c r="DF129" s="6">
        <v>1</v>
      </c>
      <c r="DH129" s="4" t="s">
        <v>78</v>
      </c>
      <c r="DI129" s="6">
        <v>0.89</v>
      </c>
      <c r="DJ129" s="6">
        <v>0.85</v>
      </c>
      <c r="DK129" s="6">
        <v>0.76</v>
      </c>
      <c r="DL129" s="6">
        <v>0.59</v>
      </c>
      <c r="DM129" s="6">
        <v>0.5</v>
      </c>
      <c r="DN129" s="6">
        <v>0.44</v>
      </c>
      <c r="DO129" s="6">
        <v>0.41</v>
      </c>
      <c r="DP129" s="6">
        <v>0.91</v>
      </c>
      <c r="DQ129" s="6">
        <v>0.94</v>
      </c>
      <c r="DR129" s="6">
        <v>0.96</v>
      </c>
      <c r="DS129" s="6">
        <v>0.98</v>
      </c>
      <c r="DT129" s="6">
        <v>1</v>
      </c>
      <c r="DU129" s="6">
        <v>1</v>
      </c>
    </row>
    <row r="130" spans="4:125" x14ac:dyDescent="0.3">
      <c r="G130" s="4" t="s">
        <v>79</v>
      </c>
      <c r="H130" s="6">
        <v>0.42</v>
      </c>
      <c r="I130" s="6">
        <v>0.37</v>
      </c>
      <c r="J130" s="6">
        <v>0.34</v>
      </c>
      <c r="K130" s="6">
        <v>0.33</v>
      </c>
      <c r="L130" s="6">
        <v>0.33</v>
      </c>
      <c r="M130" s="6">
        <v>0.35</v>
      </c>
      <c r="N130" s="6">
        <v>0.37</v>
      </c>
      <c r="O130" s="6">
        <v>0.53</v>
      </c>
      <c r="P130" s="6">
        <v>0.77</v>
      </c>
      <c r="Q130" s="6">
        <v>1</v>
      </c>
      <c r="R130" s="6">
        <v>1</v>
      </c>
      <c r="S130" s="6">
        <v>1</v>
      </c>
      <c r="T130" s="6">
        <v>1</v>
      </c>
      <c r="V130" s="4" t="s">
        <v>79</v>
      </c>
      <c r="W130" s="6">
        <v>0.4</v>
      </c>
      <c r="X130" s="6">
        <v>0.36</v>
      </c>
      <c r="Y130" s="6">
        <v>0.34</v>
      </c>
      <c r="Z130" s="6">
        <v>0.33</v>
      </c>
      <c r="AA130" s="6">
        <v>0.34</v>
      </c>
      <c r="AB130" s="6">
        <v>0.35</v>
      </c>
      <c r="AC130" s="6">
        <v>0.37</v>
      </c>
      <c r="AD130" s="6">
        <v>0.47</v>
      </c>
      <c r="AE130" s="6">
        <v>0.6</v>
      </c>
      <c r="AF130" s="6">
        <v>0.78</v>
      </c>
      <c r="AG130" s="6">
        <v>0.95</v>
      </c>
      <c r="AH130" s="6">
        <v>1</v>
      </c>
      <c r="AI130" s="6">
        <v>1</v>
      </c>
      <c r="AK130" s="4" t="s">
        <v>79</v>
      </c>
      <c r="AL130" s="6">
        <v>0.46</v>
      </c>
      <c r="AM130" s="6">
        <v>0.41</v>
      </c>
      <c r="AN130" s="6">
        <v>0.38</v>
      </c>
      <c r="AO130" s="6">
        <v>0.37</v>
      </c>
      <c r="AP130" s="6">
        <v>0.36</v>
      </c>
      <c r="AQ130" s="6">
        <v>0.36</v>
      </c>
      <c r="AR130" s="6">
        <v>0.37</v>
      </c>
      <c r="AS130" s="6">
        <v>0.55000000000000004</v>
      </c>
      <c r="AT130" s="6">
        <v>0.68</v>
      </c>
      <c r="AU130" s="6">
        <v>0.86</v>
      </c>
      <c r="AV130" s="6">
        <v>0.98</v>
      </c>
      <c r="AW130" s="6">
        <v>1</v>
      </c>
      <c r="AX130" s="6">
        <v>1</v>
      </c>
      <c r="AZ130" s="4" t="s">
        <v>79</v>
      </c>
      <c r="BA130" s="6">
        <v>0.46</v>
      </c>
      <c r="BB130" s="6">
        <v>0.42</v>
      </c>
      <c r="BC130" s="6">
        <v>0.4</v>
      </c>
      <c r="BD130" s="6">
        <v>0.39</v>
      </c>
      <c r="BE130" s="6">
        <v>0.38</v>
      </c>
      <c r="BF130" s="6">
        <v>0.37</v>
      </c>
      <c r="BG130" s="6">
        <v>0.37</v>
      </c>
      <c r="BH130" s="6">
        <v>0.52</v>
      </c>
      <c r="BI130" s="6">
        <v>0.6</v>
      </c>
      <c r="BJ130" s="6">
        <v>0.72</v>
      </c>
      <c r="BK130" s="6">
        <v>0.87</v>
      </c>
      <c r="BL130" s="6">
        <v>0.98</v>
      </c>
      <c r="BM130" s="6">
        <v>1</v>
      </c>
      <c r="BO130" s="4" t="s">
        <v>79</v>
      </c>
      <c r="BP130" s="6">
        <v>0.56999999999999995</v>
      </c>
      <c r="BQ130" s="6">
        <v>0.52</v>
      </c>
      <c r="BR130" s="6">
        <v>0.48</v>
      </c>
      <c r="BS130" s="6">
        <v>0.45</v>
      </c>
      <c r="BT130" s="6">
        <v>0.42</v>
      </c>
      <c r="BU130" s="6">
        <v>0.39</v>
      </c>
      <c r="BV130" s="6">
        <v>0.37</v>
      </c>
      <c r="BW130" s="6">
        <v>0.63</v>
      </c>
      <c r="BX130" s="6">
        <v>0.73</v>
      </c>
      <c r="BY130" s="6">
        <v>0.84</v>
      </c>
      <c r="BZ130" s="6">
        <v>0.94</v>
      </c>
      <c r="CA130" s="6">
        <v>0.99</v>
      </c>
      <c r="CB130" s="6">
        <v>1</v>
      </c>
      <c r="CD130" s="4" t="s">
        <v>79</v>
      </c>
      <c r="CE130" s="6">
        <v>0.66</v>
      </c>
      <c r="CF130" s="6">
        <v>0.61</v>
      </c>
      <c r="CG130" s="6">
        <v>0.56999999999999995</v>
      </c>
      <c r="CH130" s="6">
        <v>0.51</v>
      </c>
      <c r="CI130" s="6">
        <v>0.45</v>
      </c>
      <c r="CJ130" s="6">
        <v>0.4</v>
      </c>
      <c r="CK130" s="6">
        <v>0.37</v>
      </c>
      <c r="CL130" s="6">
        <v>0.71</v>
      </c>
      <c r="CM130" s="6">
        <v>0.77</v>
      </c>
      <c r="CN130" s="6">
        <v>0.85</v>
      </c>
      <c r="CO130" s="6">
        <v>0.93</v>
      </c>
      <c r="CP130" s="6">
        <v>0.99</v>
      </c>
      <c r="CQ130" s="6">
        <v>1</v>
      </c>
      <c r="CS130" s="4" t="s">
        <v>79</v>
      </c>
      <c r="CT130" s="6">
        <v>0.8</v>
      </c>
      <c r="CU130" s="6">
        <v>0.74</v>
      </c>
      <c r="CV130" s="6">
        <v>0.68</v>
      </c>
      <c r="CW130" s="6">
        <v>0.6</v>
      </c>
      <c r="CX130" s="6">
        <v>0.5</v>
      </c>
      <c r="CY130" s="6">
        <v>0.42</v>
      </c>
      <c r="CZ130" s="6">
        <v>0.37</v>
      </c>
      <c r="DA130" s="6">
        <v>0.85</v>
      </c>
      <c r="DB130" s="6">
        <v>0.9</v>
      </c>
      <c r="DC130" s="6">
        <v>0.94</v>
      </c>
      <c r="DD130" s="6">
        <v>0.98</v>
      </c>
      <c r="DE130" s="6">
        <v>1</v>
      </c>
      <c r="DF130" s="6">
        <v>1</v>
      </c>
      <c r="DH130" s="4" t="s">
        <v>79</v>
      </c>
      <c r="DI130" s="6">
        <v>0.96</v>
      </c>
      <c r="DJ130" s="6">
        <v>0.94</v>
      </c>
      <c r="DK130" s="6">
        <v>0.9</v>
      </c>
      <c r="DL130" s="6">
        <v>0.7</v>
      </c>
      <c r="DM130" s="6">
        <v>0.52</v>
      </c>
      <c r="DN130" s="6">
        <v>0.43</v>
      </c>
      <c r="DO130" s="6">
        <v>0.37</v>
      </c>
      <c r="DP130" s="6">
        <v>0.97</v>
      </c>
      <c r="DQ130" s="6">
        <v>0.98</v>
      </c>
      <c r="DR130" s="6">
        <v>0.99</v>
      </c>
      <c r="DS130" s="6">
        <v>0.99</v>
      </c>
      <c r="DT130" s="6">
        <v>1</v>
      </c>
      <c r="DU130" s="6">
        <v>1</v>
      </c>
    </row>
    <row r="131" spans="4:125" x14ac:dyDescent="0.3">
      <c r="G131" s="4" t="s">
        <v>80</v>
      </c>
      <c r="H131" s="6">
        <v>0.34</v>
      </c>
      <c r="I131" s="6">
        <v>0.32</v>
      </c>
      <c r="J131" s="6">
        <v>0.32</v>
      </c>
      <c r="K131" s="6">
        <v>0.32</v>
      </c>
      <c r="L131" s="6">
        <v>0.34</v>
      </c>
      <c r="M131" s="6">
        <v>0.38</v>
      </c>
      <c r="N131" s="6">
        <v>0.43</v>
      </c>
      <c r="O131" s="6">
        <v>0.39</v>
      </c>
      <c r="P131" s="6">
        <v>0.5</v>
      </c>
      <c r="Q131" s="6">
        <v>0.77</v>
      </c>
      <c r="R131" s="6">
        <v>1</v>
      </c>
      <c r="S131" s="6">
        <v>1</v>
      </c>
      <c r="T131" s="6">
        <v>1</v>
      </c>
      <c r="V131" s="4" t="s">
        <v>80</v>
      </c>
      <c r="W131" s="6">
        <v>0.39</v>
      </c>
      <c r="X131" s="6">
        <v>0.37</v>
      </c>
      <c r="Y131" s="6">
        <v>0.36</v>
      </c>
      <c r="Z131" s="6">
        <v>0.36</v>
      </c>
      <c r="AA131" s="6">
        <v>0.37</v>
      </c>
      <c r="AB131" s="6">
        <v>0.4</v>
      </c>
      <c r="AC131" s="6">
        <v>0.43</v>
      </c>
      <c r="AD131" s="6">
        <v>0.44</v>
      </c>
      <c r="AE131" s="6">
        <v>0.53</v>
      </c>
      <c r="AF131" s="6">
        <v>0.68</v>
      </c>
      <c r="AG131" s="6">
        <v>0.88</v>
      </c>
      <c r="AH131" s="6">
        <v>0.99</v>
      </c>
      <c r="AI131" s="6">
        <v>1</v>
      </c>
      <c r="AK131" s="4" t="s">
        <v>80</v>
      </c>
      <c r="AL131" s="6">
        <v>0.38</v>
      </c>
      <c r="AM131" s="6">
        <v>0.36</v>
      </c>
      <c r="AN131" s="6">
        <v>0.35</v>
      </c>
      <c r="AO131" s="6">
        <v>0.35</v>
      </c>
      <c r="AP131" s="6">
        <v>0.37</v>
      </c>
      <c r="AQ131" s="6">
        <v>0.39</v>
      </c>
      <c r="AR131" s="6">
        <v>0.43</v>
      </c>
      <c r="AS131" s="6">
        <v>0.42</v>
      </c>
      <c r="AT131" s="6">
        <v>0.51</v>
      </c>
      <c r="AU131" s="6">
        <v>0.66</v>
      </c>
      <c r="AV131" s="6">
        <v>0.87</v>
      </c>
      <c r="AW131" s="6">
        <v>0.99</v>
      </c>
      <c r="AX131" s="6">
        <v>1</v>
      </c>
      <c r="AZ131" s="4" t="s">
        <v>80</v>
      </c>
      <c r="BA131" s="6">
        <v>0.53</v>
      </c>
      <c r="BB131" s="6">
        <v>0.5</v>
      </c>
      <c r="BC131" s="6">
        <v>0.48</v>
      </c>
      <c r="BD131" s="6">
        <v>0.47</v>
      </c>
      <c r="BE131" s="6">
        <v>0.46</v>
      </c>
      <c r="BF131" s="6">
        <v>0.44</v>
      </c>
      <c r="BG131" s="6">
        <v>0.43</v>
      </c>
      <c r="BH131" s="6">
        <v>0.56999999999999995</v>
      </c>
      <c r="BI131" s="6">
        <v>0.64</v>
      </c>
      <c r="BJ131" s="6">
        <v>0.74</v>
      </c>
      <c r="BK131" s="6">
        <v>0.87</v>
      </c>
      <c r="BL131" s="6">
        <v>0.97</v>
      </c>
      <c r="BM131" s="6">
        <v>1</v>
      </c>
      <c r="BO131" s="4" t="s">
        <v>80</v>
      </c>
      <c r="BP131" s="6">
        <v>0.51</v>
      </c>
      <c r="BQ131" s="6">
        <v>0.48</v>
      </c>
      <c r="BR131" s="6">
        <v>0.46</v>
      </c>
      <c r="BS131" s="6">
        <v>0.45</v>
      </c>
      <c r="BT131" s="6">
        <v>0.44</v>
      </c>
      <c r="BU131" s="6">
        <v>0.44</v>
      </c>
      <c r="BV131" s="6">
        <v>0.43</v>
      </c>
      <c r="BW131" s="6">
        <v>0.56000000000000005</v>
      </c>
      <c r="BX131" s="6">
        <v>0.63</v>
      </c>
      <c r="BY131" s="6">
        <v>0.74</v>
      </c>
      <c r="BZ131" s="6">
        <v>0.87</v>
      </c>
      <c r="CA131" s="6">
        <v>0.98</v>
      </c>
      <c r="CB131" s="6">
        <v>1</v>
      </c>
      <c r="CD131" s="4" t="s">
        <v>80</v>
      </c>
      <c r="CE131" s="6">
        <v>0.8</v>
      </c>
      <c r="CF131" s="6">
        <v>0.78</v>
      </c>
      <c r="CG131" s="6">
        <v>0.74</v>
      </c>
      <c r="CH131" s="6">
        <v>0.69</v>
      </c>
      <c r="CI131" s="6">
        <v>0.6</v>
      </c>
      <c r="CJ131" s="6">
        <v>0.5</v>
      </c>
      <c r="CK131" s="6">
        <v>0.43</v>
      </c>
      <c r="CL131" s="6">
        <v>0.84</v>
      </c>
      <c r="CM131" s="6">
        <v>0.88</v>
      </c>
      <c r="CN131" s="6">
        <v>0.92</v>
      </c>
      <c r="CO131" s="6">
        <v>0.96</v>
      </c>
      <c r="CP131" s="6">
        <v>0.99</v>
      </c>
      <c r="CQ131" s="6">
        <v>1</v>
      </c>
      <c r="CS131" s="4" t="s">
        <v>80</v>
      </c>
      <c r="CT131" s="6">
        <v>0.8</v>
      </c>
      <c r="CU131" s="6">
        <v>0.77</v>
      </c>
      <c r="CV131" s="6">
        <v>0.73</v>
      </c>
      <c r="CW131" s="6">
        <v>0.67</v>
      </c>
      <c r="CX131" s="6">
        <v>0.59</v>
      </c>
      <c r="CY131" s="6">
        <v>0.5</v>
      </c>
      <c r="CZ131" s="6">
        <v>0.43</v>
      </c>
      <c r="DA131" s="6">
        <v>0.85</v>
      </c>
      <c r="DB131" s="6">
        <v>0.88</v>
      </c>
      <c r="DC131" s="6">
        <v>0.93</v>
      </c>
      <c r="DD131" s="6">
        <v>0.96</v>
      </c>
      <c r="DE131" s="6">
        <v>0.99</v>
      </c>
      <c r="DF131" s="6">
        <v>1</v>
      </c>
      <c r="DH131" s="4" t="s">
        <v>80</v>
      </c>
      <c r="DI131" s="6">
        <v>1</v>
      </c>
      <c r="DJ131" s="6">
        <v>0.99</v>
      </c>
      <c r="DK131" s="6">
        <v>0.99</v>
      </c>
      <c r="DL131" s="6">
        <v>0.96</v>
      </c>
      <c r="DM131" s="6">
        <v>0.72</v>
      </c>
      <c r="DN131" s="6">
        <v>0.53</v>
      </c>
      <c r="DO131" s="6">
        <v>0.43</v>
      </c>
      <c r="DP131" s="6">
        <v>1</v>
      </c>
      <c r="DQ131" s="6">
        <v>1</v>
      </c>
      <c r="DR131" s="6">
        <v>1</v>
      </c>
      <c r="DS131" s="6">
        <v>1</v>
      </c>
      <c r="DT131" s="6">
        <v>1</v>
      </c>
      <c r="DU131" s="6">
        <v>1</v>
      </c>
    </row>
    <row r="132" spans="4:125" x14ac:dyDescent="0.3">
      <c r="G132" s="4" t="s">
        <v>81</v>
      </c>
      <c r="H132" s="6">
        <v>0.28000000000000003</v>
      </c>
      <c r="I132" s="6">
        <v>0.27</v>
      </c>
      <c r="J132" s="6">
        <v>0.28999999999999998</v>
      </c>
      <c r="K132" s="6">
        <v>0.31</v>
      </c>
      <c r="L132" s="6">
        <v>0.34</v>
      </c>
      <c r="M132" s="6">
        <v>0.39</v>
      </c>
      <c r="N132" s="6">
        <v>0.48</v>
      </c>
      <c r="O132" s="6">
        <v>0.28999999999999998</v>
      </c>
      <c r="P132" s="6">
        <v>0.34</v>
      </c>
      <c r="Q132" s="6">
        <v>0.45</v>
      </c>
      <c r="R132" s="6">
        <v>0.82</v>
      </c>
      <c r="S132" s="6">
        <v>0.99</v>
      </c>
      <c r="T132" s="6">
        <v>1</v>
      </c>
      <c r="V132" s="4" t="s">
        <v>81</v>
      </c>
      <c r="W132" s="6">
        <v>0.35</v>
      </c>
      <c r="X132" s="6">
        <v>0.34</v>
      </c>
      <c r="Y132" s="6">
        <v>0.34</v>
      </c>
      <c r="Z132" s="6">
        <v>0.36</v>
      </c>
      <c r="AA132" s="6">
        <v>0.38</v>
      </c>
      <c r="AB132" s="6">
        <v>0.42</v>
      </c>
      <c r="AC132" s="6">
        <v>0.48</v>
      </c>
      <c r="AD132" s="6">
        <v>0.38</v>
      </c>
      <c r="AE132" s="6">
        <v>0.44</v>
      </c>
      <c r="AF132" s="6">
        <v>0.56999999999999995</v>
      </c>
      <c r="AG132" s="6">
        <v>0.78</v>
      </c>
      <c r="AH132" s="6">
        <v>0.96</v>
      </c>
      <c r="AI132" s="6">
        <v>1</v>
      </c>
      <c r="AK132" s="4" t="s">
        <v>81</v>
      </c>
      <c r="AL132" s="6">
        <v>0.33</v>
      </c>
      <c r="AM132" s="6">
        <v>0.32</v>
      </c>
      <c r="AN132" s="6">
        <v>0.33</v>
      </c>
      <c r="AO132" s="6">
        <v>0.34</v>
      </c>
      <c r="AP132" s="6">
        <v>0.37</v>
      </c>
      <c r="AQ132" s="6">
        <v>0.41</v>
      </c>
      <c r="AR132" s="6">
        <v>0.48</v>
      </c>
      <c r="AS132" s="6">
        <v>0.35</v>
      </c>
      <c r="AT132" s="6">
        <v>0.41</v>
      </c>
      <c r="AU132" s="6">
        <v>0.52</v>
      </c>
      <c r="AV132" s="6">
        <v>0.75</v>
      </c>
      <c r="AW132" s="6">
        <v>0.96</v>
      </c>
      <c r="AX132" s="6">
        <v>1</v>
      </c>
      <c r="AZ132" s="4" t="s">
        <v>81</v>
      </c>
      <c r="BA132" s="6">
        <v>0.56999999999999995</v>
      </c>
      <c r="BB132" s="6">
        <v>0.54</v>
      </c>
      <c r="BC132" s="6">
        <v>0.53</v>
      </c>
      <c r="BD132" s="6">
        <v>0.52</v>
      </c>
      <c r="BE132" s="6">
        <v>0.51</v>
      </c>
      <c r="BF132" s="6">
        <v>0.5</v>
      </c>
      <c r="BG132" s="6">
        <v>0.48</v>
      </c>
      <c r="BH132" s="6">
        <v>0.61</v>
      </c>
      <c r="BI132" s="6">
        <v>0.67</v>
      </c>
      <c r="BJ132" s="6">
        <v>0.76</v>
      </c>
      <c r="BK132" s="6">
        <v>0.87</v>
      </c>
      <c r="BL132" s="6">
        <v>0.97</v>
      </c>
      <c r="BM132" s="6">
        <v>1</v>
      </c>
      <c r="BO132" s="4" t="s">
        <v>81</v>
      </c>
      <c r="BP132" s="6">
        <v>0.52</v>
      </c>
      <c r="BQ132" s="6">
        <v>0.5</v>
      </c>
      <c r="BR132" s="6">
        <v>0.49</v>
      </c>
      <c r="BS132" s="6">
        <v>0.48</v>
      </c>
      <c r="BT132" s="6">
        <v>0.48</v>
      </c>
      <c r="BU132" s="6">
        <v>0.48</v>
      </c>
      <c r="BV132" s="6">
        <v>0.48</v>
      </c>
      <c r="BW132" s="6">
        <v>0.55000000000000004</v>
      </c>
      <c r="BX132" s="6">
        <v>0.62</v>
      </c>
      <c r="BY132" s="6">
        <v>0.72</v>
      </c>
      <c r="BZ132" s="6">
        <v>0.85</v>
      </c>
      <c r="CA132" s="6">
        <v>0.96</v>
      </c>
      <c r="CB132" s="6">
        <v>1</v>
      </c>
      <c r="CD132" s="4" t="s">
        <v>81</v>
      </c>
      <c r="CE132" s="6">
        <v>0.92</v>
      </c>
      <c r="CF132" s="6">
        <v>0.9</v>
      </c>
      <c r="CG132" s="6">
        <v>0.88</v>
      </c>
      <c r="CH132" s="6">
        <v>0.84</v>
      </c>
      <c r="CI132" s="6">
        <v>0.74</v>
      </c>
      <c r="CJ132" s="6">
        <v>0.6</v>
      </c>
      <c r="CK132" s="6">
        <v>0.48</v>
      </c>
      <c r="CL132" s="6">
        <v>0.94</v>
      </c>
      <c r="CM132" s="6">
        <v>0.95</v>
      </c>
      <c r="CN132" s="6">
        <v>0.97</v>
      </c>
      <c r="CO132" s="6">
        <v>0.99</v>
      </c>
      <c r="CP132" s="6">
        <v>1</v>
      </c>
      <c r="CQ132" s="6">
        <v>1</v>
      </c>
      <c r="CS132" s="4" t="s">
        <v>81</v>
      </c>
      <c r="CT132" s="6">
        <v>0.9</v>
      </c>
      <c r="CU132" s="6">
        <v>0.87</v>
      </c>
      <c r="CV132" s="6">
        <v>0.85</v>
      </c>
      <c r="CW132" s="6">
        <v>0.8</v>
      </c>
      <c r="CX132" s="6">
        <v>0.71</v>
      </c>
      <c r="CY132" s="6">
        <v>0.59</v>
      </c>
      <c r="CZ132" s="6">
        <v>0.48</v>
      </c>
      <c r="DA132" s="6">
        <v>0.91</v>
      </c>
      <c r="DB132" s="6">
        <v>0.93</v>
      </c>
      <c r="DC132" s="6">
        <v>0.95</v>
      </c>
      <c r="DD132" s="6">
        <v>0.98</v>
      </c>
      <c r="DE132" s="6">
        <v>0.99</v>
      </c>
      <c r="DF132" s="6">
        <v>1</v>
      </c>
      <c r="DH132" s="4" t="s">
        <v>81</v>
      </c>
      <c r="DI132" s="6">
        <v>1</v>
      </c>
      <c r="DJ132" s="6">
        <v>1</v>
      </c>
      <c r="DK132" s="6">
        <v>1</v>
      </c>
      <c r="DL132" s="6">
        <v>1</v>
      </c>
      <c r="DM132" s="6">
        <v>0.96</v>
      </c>
      <c r="DN132" s="6">
        <v>0.66</v>
      </c>
      <c r="DO132" s="6">
        <v>0.48</v>
      </c>
      <c r="DP132" s="6">
        <v>1</v>
      </c>
      <c r="DQ132" s="6">
        <v>1</v>
      </c>
      <c r="DR132" s="6">
        <v>1</v>
      </c>
      <c r="DS132" s="6">
        <v>1</v>
      </c>
      <c r="DT132" s="6">
        <v>1</v>
      </c>
      <c r="DU132" s="6">
        <v>1</v>
      </c>
    </row>
    <row r="133" spans="4:125" x14ac:dyDescent="0.3">
      <c r="G133" s="4" t="s">
        <v>82</v>
      </c>
      <c r="H133" s="6">
        <v>0.24</v>
      </c>
      <c r="I133" s="6">
        <v>0.25</v>
      </c>
      <c r="J133" s="6">
        <v>0.27</v>
      </c>
      <c r="K133" s="6">
        <v>0.3</v>
      </c>
      <c r="L133" s="6">
        <v>0.35</v>
      </c>
      <c r="M133" s="6">
        <v>0.43</v>
      </c>
      <c r="N133" s="6">
        <v>0.56000000000000005</v>
      </c>
      <c r="O133" s="6">
        <v>0.24</v>
      </c>
      <c r="P133" s="6">
        <v>0.25</v>
      </c>
      <c r="Q133" s="6">
        <v>0.3</v>
      </c>
      <c r="R133" s="6">
        <v>0.46</v>
      </c>
      <c r="S133" s="6">
        <v>0.95</v>
      </c>
      <c r="T133" s="6">
        <v>1</v>
      </c>
      <c r="V133" s="4" t="s">
        <v>82</v>
      </c>
      <c r="W133" s="6">
        <v>0.31</v>
      </c>
      <c r="X133" s="6">
        <v>0.31</v>
      </c>
      <c r="Y133" s="6">
        <v>0.33</v>
      </c>
      <c r="Z133" s="6">
        <v>0.36</v>
      </c>
      <c r="AA133" s="6">
        <v>0.4</v>
      </c>
      <c r="AB133" s="6">
        <v>0.46</v>
      </c>
      <c r="AC133" s="6">
        <v>0.56000000000000005</v>
      </c>
      <c r="AD133" s="6">
        <v>0.32</v>
      </c>
      <c r="AE133" s="6">
        <v>0.35</v>
      </c>
      <c r="AF133" s="6">
        <v>0.44</v>
      </c>
      <c r="AG133" s="6">
        <v>0.64</v>
      </c>
      <c r="AH133" s="6">
        <v>0.93</v>
      </c>
      <c r="AI133" s="6">
        <v>1</v>
      </c>
      <c r="AK133" s="4" t="s">
        <v>82</v>
      </c>
      <c r="AL133" s="6">
        <v>0.3</v>
      </c>
      <c r="AM133" s="6">
        <v>0.3</v>
      </c>
      <c r="AN133" s="6">
        <v>0.32</v>
      </c>
      <c r="AO133" s="6">
        <v>0.35</v>
      </c>
      <c r="AP133" s="6">
        <v>0.39</v>
      </c>
      <c r="AQ133" s="6">
        <v>0.46</v>
      </c>
      <c r="AR133" s="6">
        <v>0.56000000000000005</v>
      </c>
      <c r="AS133" s="6">
        <v>0.3</v>
      </c>
      <c r="AT133" s="6">
        <v>0.33</v>
      </c>
      <c r="AU133" s="6">
        <v>0.41</v>
      </c>
      <c r="AV133" s="6">
        <v>0.61</v>
      </c>
      <c r="AW133" s="6">
        <v>0.91</v>
      </c>
      <c r="AX133" s="6">
        <v>1</v>
      </c>
      <c r="AZ133" s="4" t="s">
        <v>82</v>
      </c>
      <c r="BA133" s="6">
        <v>0.62</v>
      </c>
      <c r="BB133" s="6">
        <v>0.6</v>
      </c>
      <c r="BC133" s="6">
        <v>0.59</v>
      </c>
      <c r="BD133" s="6">
        <v>0.57999999999999996</v>
      </c>
      <c r="BE133" s="6">
        <v>0.57999999999999996</v>
      </c>
      <c r="BF133" s="6">
        <v>0.56999999999999995</v>
      </c>
      <c r="BG133" s="6">
        <v>0.56000000000000005</v>
      </c>
      <c r="BH133" s="6">
        <v>0.65</v>
      </c>
      <c r="BI133" s="6">
        <v>0.7</v>
      </c>
      <c r="BJ133" s="6">
        <v>0.78</v>
      </c>
      <c r="BK133" s="6">
        <v>0.88</v>
      </c>
      <c r="BL133" s="6">
        <v>0.97</v>
      </c>
      <c r="BM133" s="6">
        <v>1</v>
      </c>
      <c r="BO133" s="4" t="s">
        <v>82</v>
      </c>
      <c r="BP133" s="6">
        <v>0.57999999999999996</v>
      </c>
      <c r="BQ133" s="6">
        <v>0.56000000000000005</v>
      </c>
      <c r="BR133" s="6">
        <v>0.56000000000000005</v>
      </c>
      <c r="BS133" s="6">
        <v>0.56000000000000005</v>
      </c>
      <c r="BT133" s="6">
        <v>0.56000000000000005</v>
      </c>
      <c r="BU133" s="6">
        <v>0.56000000000000005</v>
      </c>
      <c r="BV133" s="6">
        <v>0.56000000000000005</v>
      </c>
      <c r="BW133" s="6">
        <v>0.6</v>
      </c>
      <c r="BX133" s="6">
        <v>0.66</v>
      </c>
      <c r="BY133" s="6">
        <v>0.73</v>
      </c>
      <c r="BZ133" s="6">
        <v>0.85</v>
      </c>
      <c r="CA133" s="6">
        <v>0.96</v>
      </c>
      <c r="CB133" s="6">
        <v>1</v>
      </c>
      <c r="CD133" s="4" t="s">
        <v>82</v>
      </c>
      <c r="CE133" s="6">
        <v>0.99</v>
      </c>
      <c r="CF133" s="6">
        <v>0.98</v>
      </c>
      <c r="CG133" s="6">
        <v>0.98</v>
      </c>
      <c r="CH133" s="6">
        <v>0.96</v>
      </c>
      <c r="CI133" s="6">
        <v>0.91</v>
      </c>
      <c r="CJ133" s="6">
        <v>0.74</v>
      </c>
      <c r="CK133" s="6">
        <v>0.56000000000000005</v>
      </c>
      <c r="CL133" s="6">
        <v>0.99</v>
      </c>
      <c r="CM133" s="6">
        <v>0.99</v>
      </c>
      <c r="CN133" s="6">
        <v>0.99</v>
      </c>
      <c r="CO133" s="6">
        <v>0.99</v>
      </c>
      <c r="CP133" s="6">
        <v>1</v>
      </c>
      <c r="CQ133" s="6">
        <v>1</v>
      </c>
      <c r="CS133" s="4" t="s">
        <v>82</v>
      </c>
      <c r="CT133" s="6">
        <v>0.98</v>
      </c>
      <c r="CU133" s="6">
        <v>0.97</v>
      </c>
      <c r="CV133" s="6">
        <v>0.96</v>
      </c>
      <c r="CW133" s="6">
        <v>0.95</v>
      </c>
      <c r="CX133" s="6">
        <v>0.9</v>
      </c>
      <c r="CY133" s="6">
        <v>0.73</v>
      </c>
      <c r="CZ133" s="6">
        <v>0.56000000000000005</v>
      </c>
      <c r="DA133" s="6">
        <v>0.98</v>
      </c>
      <c r="DB133" s="6">
        <v>0.98</v>
      </c>
      <c r="DC133" s="6">
        <v>0.99</v>
      </c>
      <c r="DD133" s="6">
        <v>1</v>
      </c>
      <c r="DE133" s="6">
        <v>1</v>
      </c>
      <c r="DF133" s="6">
        <v>1</v>
      </c>
      <c r="DH133" s="4" t="s">
        <v>82</v>
      </c>
      <c r="DI133" s="6">
        <v>1</v>
      </c>
      <c r="DJ133" s="6">
        <v>1</v>
      </c>
      <c r="DK133" s="6">
        <v>1</v>
      </c>
      <c r="DL133" s="6">
        <v>1</v>
      </c>
      <c r="DM133" s="6">
        <v>1</v>
      </c>
      <c r="DN133" s="6">
        <v>0.86</v>
      </c>
      <c r="DO133" s="6">
        <v>0.56000000000000005</v>
      </c>
      <c r="DP133" s="6">
        <v>1</v>
      </c>
      <c r="DQ133" s="6">
        <v>1</v>
      </c>
      <c r="DR133" s="6">
        <v>1</v>
      </c>
      <c r="DS133" s="6">
        <v>1</v>
      </c>
      <c r="DT133" s="6">
        <v>1</v>
      </c>
      <c r="DU133" s="6">
        <v>1</v>
      </c>
    </row>
    <row r="134" spans="4:125" x14ac:dyDescent="0.3">
      <c r="G134" s="4" t="s">
        <v>83</v>
      </c>
      <c r="H134" s="6">
        <v>0.19</v>
      </c>
      <c r="I134" s="6">
        <v>0.21</v>
      </c>
      <c r="J134" s="6">
        <v>0.23</v>
      </c>
      <c r="K134" s="6">
        <v>0.27</v>
      </c>
      <c r="L134" s="6">
        <v>0.32</v>
      </c>
      <c r="M134" s="6">
        <v>0.42</v>
      </c>
      <c r="N134" s="6">
        <v>0.6</v>
      </c>
      <c r="O134" s="6">
        <v>0.19</v>
      </c>
      <c r="P134" s="6">
        <v>0.2</v>
      </c>
      <c r="Q134" s="6">
        <v>0.22</v>
      </c>
      <c r="R134" s="6">
        <v>0.31</v>
      </c>
      <c r="S134" s="6">
        <v>0.75</v>
      </c>
      <c r="T134" s="6">
        <v>1</v>
      </c>
      <c r="V134" s="4" t="s">
        <v>83</v>
      </c>
      <c r="W134" s="6">
        <v>0.26</v>
      </c>
      <c r="X134" s="6">
        <v>0.28000000000000003</v>
      </c>
      <c r="Y134" s="6">
        <v>0.3</v>
      </c>
      <c r="Z134" s="6">
        <v>0.33</v>
      </c>
      <c r="AA134" s="6">
        <v>0.38</v>
      </c>
      <c r="AB134" s="6">
        <v>0.47</v>
      </c>
      <c r="AC134" s="6">
        <v>0.6</v>
      </c>
      <c r="AD134" s="6">
        <v>0.26</v>
      </c>
      <c r="AE134" s="6">
        <v>0.28000000000000003</v>
      </c>
      <c r="AF134" s="6">
        <v>0.33</v>
      </c>
      <c r="AG134" s="6">
        <v>0.48</v>
      </c>
      <c r="AH134" s="6">
        <v>0.85</v>
      </c>
      <c r="AI134" s="6">
        <v>1</v>
      </c>
      <c r="AK134" s="4" t="s">
        <v>83</v>
      </c>
      <c r="AL134" s="6">
        <v>0.25</v>
      </c>
      <c r="AM134" s="6">
        <v>0.26</v>
      </c>
      <c r="AN134" s="6">
        <v>0.28000000000000003</v>
      </c>
      <c r="AO134" s="6">
        <v>0.32</v>
      </c>
      <c r="AP134" s="6">
        <v>0.37</v>
      </c>
      <c r="AQ134" s="6">
        <v>0.46</v>
      </c>
      <c r="AR134" s="6">
        <v>0.6</v>
      </c>
      <c r="AS134" s="6">
        <v>0.25</v>
      </c>
      <c r="AT134" s="6">
        <v>0.26</v>
      </c>
      <c r="AU134" s="6">
        <v>0.3</v>
      </c>
      <c r="AV134" s="6">
        <v>0.44</v>
      </c>
      <c r="AW134" s="6">
        <v>0.81</v>
      </c>
      <c r="AX134" s="6">
        <v>1</v>
      </c>
      <c r="AZ134" s="4" t="s">
        <v>83</v>
      </c>
      <c r="BA134" s="6">
        <v>0.61</v>
      </c>
      <c r="BB134" s="6">
        <v>0.6</v>
      </c>
      <c r="BC134" s="6">
        <v>0.6</v>
      </c>
      <c r="BD134" s="6">
        <v>0.61</v>
      </c>
      <c r="BE134" s="6">
        <v>0.61</v>
      </c>
      <c r="BF134" s="6">
        <v>0.61</v>
      </c>
      <c r="BG134" s="6">
        <v>0.6</v>
      </c>
      <c r="BH134" s="6">
        <v>0.62</v>
      </c>
      <c r="BI134" s="6">
        <v>0.66</v>
      </c>
      <c r="BJ134" s="6">
        <v>0.74</v>
      </c>
      <c r="BK134" s="6">
        <v>0.83</v>
      </c>
      <c r="BL134" s="6">
        <v>0.95</v>
      </c>
      <c r="BM134" s="6">
        <v>1</v>
      </c>
      <c r="BO134" s="4" t="s">
        <v>83</v>
      </c>
      <c r="BP134" s="6">
        <v>0.55000000000000004</v>
      </c>
      <c r="BQ134" s="6">
        <v>0.54</v>
      </c>
      <c r="BR134" s="6">
        <v>0.55000000000000004</v>
      </c>
      <c r="BS134" s="6">
        <v>0.56999999999999995</v>
      </c>
      <c r="BT134" s="6">
        <v>0.57999999999999996</v>
      </c>
      <c r="BU134" s="6">
        <v>0.59</v>
      </c>
      <c r="BV134" s="6">
        <v>0.6</v>
      </c>
      <c r="BW134" s="6">
        <v>0.56000000000000005</v>
      </c>
      <c r="BX134" s="6">
        <v>0.6</v>
      </c>
      <c r="BY134" s="6">
        <v>0.68</v>
      </c>
      <c r="BZ134" s="6">
        <v>0.78</v>
      </c>
      <c r="CA134" s="6">
        <v>0.94</v>
      </c>
      <c r="CB134" s="6">
        <v>1</v>
      </c>
      <c r="CD134" s="4" t="s">
        <v>83</v>
      </c>
      <c r="CE134" s="6">
        <v>1</v>
      </c>
      <c r="CF134" s="6">
        <v>1</v>
      </c>
      <c r="CG134" s="6">
        <v>1</v>
      </c>
      <c r="CH134" s="6">
        <v>1</v>
      </c>
      <c r="CI134" s="6">
        <v>0.99</v>
      </c>
      <c r="CJ134" s="6">
        <v>0.86</v>
      </c>
      <c r="CK134" s="6">
        <v>0.6</v>
      </c>
      <c r="CL134" s="6">
        <v>1</v>
      </c>
      <c r="CM134" s="6">
        <v>1</v>
      </c>
      <c r="CN134" s="6">
        <v>1</v>
      </c>
      <c r="CO134" s="6">
        <v>1</v>
      </c>
      <c r="CP134" s="6">
        <v>1</v>
      </c>
      <c r="CQ134" s="6">
        <v>1</v>
      </c>
      <c r="CS134" s="4" t="s">
        <v>83</v>
      </c>
      <c r="CT134" s="6">
        <v>1</v>
      </c>
      <c r="CU134" s="6">
        <v>1</v>
      </c>
      <c r="CV134" s="6">
        <v>1</v>
      </c>
      <c r="CW134" s="6">
        <v>0.99</v>
      </c>
      <c r="CX134" s="6">
        <v>0.98</v>
      </c>
      <c r="CY134" s="6">
        <v>0.84</v>
      </c>
      <c r="CZ134" s="6">
        <v>0.6</v>
      </c>
      <c r="DA134" s="6">
        <v>1</v>
      </c>
      <c r="DB134" s="6">
        <v>1</v>
      </c>
      <c r="DC134" s="6">
        <v>1</v>
      </c>
      <c r="DD134" s="6">
        <v>1</v>
      </c>
      <c r="DE134" s="6">
        <v>1</v>
      </c>
      <c r="DF134" s="6">
        <v>1</v>
      </c>
      <c r="DH134" s="4" t="s">
        <v>83</v>
      </c>
      <c r="DI134" s="6">
        <v>1</v>
      </c>
      <c r="DJ134" s="6">
        <v>1</v>
      </c>
      <c r="DK134" s="6">
        <v>1</v>
      </c>
      <c r="DL134" s="6">
        <v>1</v>
      </c>
      <c r="DM134" s="6">
        <v>1</v>
      </c>
      <c r="DN134" s="6">
        <v>1</v>
      </c>
      <c r="DO134" s="6">
        <v>0.6</v>
      </c>
      <c r="DP134" s="6">
        <v>1</v>
      </c>
      <c r="DQ134" s="6">
        <v>1</v>
      </c>
      <c r="DR134" s="6">
        <v>1</v>
      </c>
      <c r="DS134" s="6">
        <v>1</v>
      </c>
      <c r="DT134" s="6">
        <v>1</v>
      </c>
      <c r="DU134" s="6">
        <v>1</v>
      </c>
    </row>
    <row r="135" spans="4:125" x14ac:dyDescent="0.3">
      <c r="D135" t="s">
        <v>228</v>
      </c>
    </row>
    <row r="156" spans="3:16" x14ac:dyDescent="0.3">
      <c r="C156" s="10"/>
      <c r="D156" s="10"/>
      <c r="E156" s="10"/>
      <c r="F156" s="10"/>
      <c r="G156" s="10"/>
      <c r="H156" s="10"/>
      <c r="I156" s="10"/>
      <c r="J156" s="10"/>
      <c r="K156" s="10"/>
      <c r="L156" s="10"/>
      <c r="M156" s="10"/>
      <c r="N156" s="10"/>
      <c r="O156" s="10"/>
      <c r="P156" s="10"/>
    </row>
  </sheetData>
  <dataConsolidate>
    <dataRefs count="1">
      <dataRef ref="D8:E8" sheet="Datablad"/>
    </dataRefs>
  </dataConsolidate>
  <mergeCells count="2">
    <mergeCell ref="L90:Q90"/>
    <mergeCell ref="F90:J90"/>
  </mergeCells>
  <pageMargins left="0.7" right="0.7" top="0.75" bottom="0.75"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48</vt:i4>
      </vt:variant>
    </vt:vector>
  </HeadingPairs>
  <TitlesOfParts>
    <vt:vector size="54" baseType="lpstr">
      <vt:lpstr>Toelichting</vt:lpstr>
      <vt:lpstr>PV_Rekentool</vt:lpstr>
      <vt:lpstr>Resultaat</vt:lpstr>
      <vt:lpstr>Drop-down</vt:lpstr>
      <vt:lpstr>Rekenblad</vt:lpstr>
      <vt:lpstr>Datablad</vt:lpstr>
      <vt:lpstr>aanwezig2</vt:lpstr>
      <vt:lpstr>aanwezig3</vt:lpstr>
      <vt:lpstr>aanwezig4</vt:lpstr>
      <vt:lpstr>aanwezig5</vt:lpstr>
      <vt:lpstr>aanwezig6</vt:lpstr>
      <vt:lpstr>aanwezig7</vt:lpstr>
      <vt:lpstr>PV_Rekentool!Afdrukbereik</vt:lpstr>
      <vt:lpstr>Bepaling_eis</vt:lpstr>
      <vt:lpstr>f_Pren_renelect</vt:lpstr>
      <vt:lpstr>Forfaitair</vt:lpstr>
      <vt:lpstr>Gebruiksoppervlak</vt:lpstr>
      <vt:lpstr>invoerwijzewatpiekvermogen</vt:lpstr>
      <vt:lpstr>Jaartalklassen</vt:lpstr>
      <vt:lpstr>keuzePV</vt:lpstr>
      <vt:lpstr>MeerInformatie</vt:lpstr>
      <vt:lpstr>nieuw_systeemlijst</vt:lpstr>
      <vt:lpstr>nieuw_systeemlijst_nieuw</vt:lpstr>
      <vt:lpstr>nieuwbestaand</vt:lpstr>
      <vt:lpstr>nieuwbestaand1</vt:lpstr>
      <vt:lpstr>nieuwbestaand2</vt:lpstr>
      <vt:lpstr>Opbrengst_systeem1</vt:lpstr>
      <vt:lpstr>Opbrengst_systeem2</vt:lpstr>
      <vt:lpstr>Opbrengst_systeem3</vt:lpstr>
      <vt:lpstr>Opbrengst_systeem4</vt:lpstr>
      <vt:lpstr>Opbrengst_systeem5</vt:lpstr>
      <vt:lpstr>Opbrengst_systeem6</vt:lpstr>
      <vt:lpstr>Opbrengst_systeem7</vt:lpstr>
      <vt:lpstr>Opbrengst_tot_kWh_m2_jaar</vt:lpstr>
      <vt:lpstr>Orientatie</vt:lpstr>
      <vt:lpstr>PV_algemeen</vt:lpstr>
      <vt:lpstr>PV_details</vt:lpstr>
      <vt:lpstr>PV_Gebouwkenmerken</vt:lpstr>
      <vt:lpstr>PV_Gegevens_PV_systeem</vt:lpstr>
      <vt:lpstr>PV_Gegevens_PV_systeem1</vt:lpstr>
      <vt:lpstr>PV_Objectgegevens</vt:lpstr>
      <vt:lpstr>Rekentool_algemeen</vt:lpstr>
      <vt:lpstr>Relatieve_breedte</vt:lpstr>
      <vt:lpstr>Selecteer_zonnepaneeltype</vt:lpstr>
      <vt:lpstr>Systeemdetails</vt:lpstr>
      <vt:lpstr>Toelichting_Afdrukken</vt:lpstr>
      <vt:lpstr>Toelichting_algemeen</vt:lpstr>
      <vt:lpstr>Toelichting_Bepaling_eis</vt:lpstr>
      <vt:lpstr>Toelichting_Gebouwkenmerken</vt:lpstr>
      <vt:lpstr>Toelichting_Gegevens_PV_systeem</vt:lpstr>
      <vt:lpstr>Toelichting_Gegevens_PV_systeem1</vt:lpstr>
      <vt:lpstr>Toelichting_Objectgegevens</vt:lpstr>
      <vt:lpstr>Tool_Afdrukken</vt:lpstr>
      <vt:lpstr>Typecel1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DGMR</dc:creator>
  <cp:lastModifiedBy>RVO</cp:lastModifiedBy>
  <cp:lastPrinted>2021-11-01T13:14:23Z</cp:lastPrinted>
  <dcterms:created xsi:type="dcterms:W3CDTF">2021-02-09T12:30:21Z</dcterms:created>
  <dcterms:modified xsi:type="dcterms:W3CDTF">2024-07-01T11:24:58Z</dcterms:modified>
</cp:coreProperties>
</file>