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12.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66925"/>
  <mc:AlternateContent xmlns:mc="http://schemas.openxmlformats.org/markup-compatibility/2006">
    <mc:Choice Requires="x15">
      <x15ac:absPath xmlns:x15ac="http://schemas.microsoft.com/office/spreadsheetml/2010/11/ac" url="T:\rvo\Kluis_Beleidsadvisering_SDE_MEP\2024\HBS SDE++2024\Definitieve stukken SDE++ 2024\"/>
    </mc:Choice>
  </mc:AlternateContent>
  <xr:revisionPtr revIDLastSave="0" documentId="13_ncr:1_{FF7D64FA-FDC1-47D8-9007-1156AC88AC30}" xr6:coauthVersionLast="47" xr6:coauthVersionMax="47" xr10:uidLastSave="{00000000-0000-0000-0000-000000000000}"/>
  <workbookProtection workbookAlgorithmName="SHA-512" workbookHashValue="OjwIg+6X8g/lYJWUKOtsVvEkessSIYNbDLwVZjlPJiKMu6pFmAsPKtc6E4GbfU2RMQMFd7d4jvyBYefA5j0YOA==" workbookSaltValue="J/ibORsw0M3NsktT0Y34gg==" workbookSpinCount="100000" lockStructure="1"/>
  <bookViews>
    <workbookView xWindow="-120" yWindow="-120" windowWidth="29040" windowHeight="15840" xr2:uid="{FEB83FE9-37A0-456F-83DE-888987527C12}"/>
  </bookViews>
  <sheets>
    <sheet name="Invulinstructie_disclaimer" sheetId="1" r:id="rId1"/>
    <sheet name="Financiering_en_projectplan" sheetId="2" r:id="rId2"/>
    <sheet name="Productie_en_afzet" sheetId="3" r:id="rId3"/>
    <sheet name="Exploitatieberekening" sheetId="4" r:id="rId4"/>
    <sheet name="Overzicht bijlagen" sheetId="5" r:id="rId5"/>
    <sheet name="Hulpblad_categorieën_parameters" sheetId="6" state="hidden" r:id="rId6"/>
    <sheet name="PBL OT 2024" sheetId="10" state="hidden" r:id="rId7"/>
    <sheet name="Hulpblad_overig" sheetId="7" state="hidden" r:id="rId8"/>
    <sheet name="Alternat.rendementsberekening" sheetId="8" state="hidden" r:id="rId9"/>
  </sheets>
  <externalReferences>
    <externalReference r:id="rId10"/>
  </externalReferences>
  <calcPr calcId="191029" iterate="1" iterateCount="30000" iterateDelta="1.0000000000000001E-5"/>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44" i="10" l="1"/>
  <c r="F37" i="10"/>
  <c r="F32" i="10"/>
  <c r="F1" i="10"/>
  <c r="I74" i="10"/>
  <c r="I73" i="10"/>
  <c r="I66" i="10"/>
  <c r="I64" i="10"/>
  <c r="I63" i="10"/>
  <c r="I62" i="10"/>
  <c r="I61" i="10"/>
  <c r="I60" i="10"/>
  <c r="E78" i="10"/>
  <c r="E77" i="10"/>
  <c r="E74" i="10"/>
  <c r="E73" i="10"/>
  <c r="E70" i="10"/>
  <c r="E71" i="10"/>
  <c r="E72" i="10"/>
  <c r="E69" i="10"/>
  <c r="E67" i="10"/>
  <c r="E66" i="10"/>
  <c r="E64" i="10"/>
  <c r="E63" i="10"/>
  <c r="E62" i="10"/>
  <c r="E61" i="10"/>
  <c r="E60" i="10"/>
  <c r="O42" i="4"/>
  <c r="P42" i="4" s="1"/>
  <c r="Q42" i="4" s="1"/>
  <c r="R42" i="4" s="1"/>
  <c r="S42" i="4" s="1"/>
  <c r="T42" i="4" s="1"/>
  <c r="U42" i="4" s="1"/>
  <c r="V42" i="4" s="1"/>
  <c r="B164" i="7" l="1"/>
  <c r="B163" i="7"/>
  <c r="H51" i="6" l="1"/>
  <c r="G49" i="6"/>
  <c r="AD247" i="6"/>
  <c r="S247" i="6"/>
  <c r="N247" i="6"/>
  <c r="O247" i="6"/>
  <c r="P247" i="6"/>
  <c r="Q247" i="6"/>
  <c r="G247" i="6"/>
  <c r="I247" i="6"/>
  <c r="S225" i="6"/>
  <c r="O225" i="6"/>
  <c r="P225" i="6"/>
  <c r="Q225" i="6"/>
  <c r="N225" i="6"/>
  <c r="G225" i="6"/>
  <c r="F8" i="2"/>
  <c r="A74" i="5" s="1"/>
  <c r="B194" i="7"/>
  <c r="B190" i="7"/>
  <c r="B184" i="7"/>
  <c r="B179" i="7"/>
  <c r="B177" i="7"/>
  <c r="B174" i="7"/>
  <c r="AA295" i="6" l="1"/>
  <c r="AA294" i="6"/>
  <c r="AA293" i="6" l="1"/>
  <c r="AA292" i="6"/>
  <c r="AD208" i="6"/>
  <c r="AD209" i="6"/>
  <c r="AD210" i="6"/>
  <c r="AD211" i="6"/>
  <c r="AD212" i="6"/>
  <c r="AD213" i="6"/>
  <c r="AD214" i="6"/>
  <c r="AD215" i="6"/>
  <c r="AD218" i="6"/>
  <c r="AD219" i="6"/>
  <c r="AD220" i="6"/>
  <c r="AD221" i="6"/>
  <c r="AD222" i="6"/>
  <c r="AD223" i="6"/>
  <c r="AD224" i="6"/>
  <c r="AD228" i="6"/>
  <c r="AD229" i="6"/>
  <c r="AD230" i="6"/>
  <c r="AD231" i="6"/>
  <c r="AD232" i="6"/>
  <c r="AD233" i="6"/>
  <c r="AD234" i="6"/>
  <c r="AD235" i="6"/>
  <c r="AD236" i="6"/>
  <c r="AD239" i="6"/>
  <c r="AD240" i="6"/>
  <c r="AD241" i="6"/>
  <c r="AD242" i="6"/>
  <c r="AD243" i="6"/>
  <c r="AD244" i="6"/>
  <c r="AD245" i="6"/>
  <c r="AD246" i="6"/>
  <c r="AC303" i="6"/>
  <c r="AD303" i="6" s="1"/>
  <c r="AC302" i="6"/>
  <c r="AD302" i="6" s="1"/>
  <c r="AC301" i="6"/>
  <c r="AD301" i="6" s="1"/>
  <c r="AC300" i="6"/>
  <c r="AD300" i="6" s="1"/>
  <c r="AC299" i="6"/>
  <c r="AD299" i="6" s="1"/>
  <c r="AC296" i="6"/>
  <c r="AD296" i="6" s="1"/>
  <c r="AC295" i="6"/>
  <c r="AD295" i="6" s="1"/>
  <c r="AC271" i="6"/>
  <c r="AD271" i="6" s="1"/>
  <c r="AC270" i="6"/>
  <c r="AD270" i="6" s="1"/>
  <c r="AC269" i="6"/>
  <c r="AD269" i="6" s="1"/>
  <c r="AC268" i="6"/>
  <c r="AD268" i="6" s="1"/>
  <c r="AC267" i="6"/>
  <c r="AD267" i="6" s="1"/>
  <c r="AC266" i="6"/>
  <c r="AD266" i="6" s="1"/>
  <c r="AC265" i="6"/>
  <c r="AD265" i="6" s="1"/>
  <c r="AC262" i="6"/>
  <c r="AD262" i="6" s="1"/>
  <c r="AC261" i="6"/>
  <c r="AD261" i="6" s="1"/>
  <c r="AC260" i="6"/>
  <c r="AD260" i="6" s="1"/>
  <c r="AC259" i="6"/>
  <c r="AD259" i="6" s="1"/>
  <c r="AC258" i="6"/>
  <c r="AD258" i="6" s="1"/>
  <c r="AC255" i="6"/>
  <c r="AD255" i="6" s="1"/>
  <c r="AC254" i="6"/>
  <c r="AD254" i="6" s="1"/>
  <c r="AC253" i="6"/>
  <c r="AD253" i="6" s="1"/>
  <c r="AC252" i="6"/>
  <c r="AD252" i="6" s="1"/>
  <c r="AC251" i="6"/>
  <c r="AD251" i="6" s="1"/>
  <c r="AC250" i="6"/>
  <c r="AD250" i="6" s="1"/>
  <c r="AC87" i="6"/>
  <c r="AD87" i="6" s="1"/>
  <c r="AC86" i="6"/>
  <c r="AD86" i="6" s="1"/>
  <c r="AC85" i="6"/>
  <c r="AD85" i="6" s="1"/>
  <c r="AC84" i="6"/>
  <c r="AD84" i="6" s="1"/>
  <c r="AC83" i="6"/>
  <c r="AD83" i="6" s="1"/>
  <c r="AC82" i="6"/>
  <c r="AD82" i="6" s="1"/>
  <c r="AC81" i="6"/>
  <c r="AD81" i="6" s="1"/>
  <c r="AC279" i="6"/>
  <c r="AD279" i="6" s="1"/>
  <c r="AC278" i="6"/>
  <c r="AD278" i="6" s="1"/>
  <c r="AC294" i="6"/>
  <c r="AD294" i="6" s="1"/>
  <c r="AC293" i="6"/>
  <c r="AD293" i="6" s="1"/>
  <c r="AC292" i="6"/>
  <c r="AD292" i="6" s="1"/>
  <c r="AC202" i="6"/>
  <c r="AD202" i="6" s="1"/>
  <c r="AC204" i="6"/>
  <c r="AD204" i="6" s="1"/>
  <c r="AC203" i="6"/>
  <c r="AD203" i="6" s="1"/>
  <c r="AC205" i="6"/>
  <c r="AD205" i="6" s="1"/>
  <c r="AC160" i="6"/>
  <c r="AD160" i="6" s="1"/>
  <c r="AC199" i="6"/>
  <c r="AC198" i="6"/>
  <c r="AC197" i="6"/>
  <c r="AC196" i="6"/>
  <c r="AC195" i="6"/>
  <c r="AC194" i="6"/>
  <c r="AC193" i="6"/>
  <c r="AC192" i="6"/>
  <c r="AC191" i="6"/>
  <c r="AC190" i="6"/>
  <c r="AC189" i="6"/>
  <c r="AC188" i="6"/>
  <c r="AC187" i="6"/>
  <c r="AC186" i="6"/>
  <c r="AC185" i="6"/>
  <c r="AC184" i="6"/>
  <c r="AC183" i="6"/>
  <c r="AC180" i="6"/>
  <c r="AC179" i="6"/>
  <c r="AC178" i="6"/>
  <c r="AC177" i="6"/>
  <c r="AC176" i="6"/>
  <c r="AC175" i="6"/>
  <c r="AC174" i="6"/>
  <c r="AC173" i="6"/>
  <c r="AC172" i="6"/>
  <c r="AC171" i="6"/>
  <c r="AC170" i="6"/>
  <c r="AC169" i="6"/>
  <c r="AC168" i="6"/>
  <c r="AC167" i="6"/>
  <c r="AC166" i="6"/>
  <c r="AC165" i="6"/>
  <c r="AC164" i="6"/>
  <c r="AC163" i="6"/>
  <c r="AC149" i="6"/>
  <c r="AD149" i="6" s="1"/>
  <c r="AC148" i="6"/>
  <c r="AD148" i="6" s="1"/>
  <c r="AC147" i="6"/>
  <c r="AD147" i="6" s="1"/>
  <c r="AC159" i="6"/>
  <c r="AD159" i="6" s="1"/>
  <c r="AC128" i="6"/>
  <c r="AD128" i="6" s="1"/>
  <c r="AC115" i="6"/>
  <c r="AD115" i="6" s="1"/>
  <c r="AC114" i="6"/>
  <c r="AD114" i="6" s="1"/>
  <c r="AC113" i="6"/>
  <c r="AD113" i="6" s="1"/>
  <c r="AC289" i="6"/>
  <c r="AD289" i="6" s="1"/>
  <c r="AC288" i="6"/>
  <c r="AD288" i="6" s="1"/>
  <c r="AC287" i="6"/>
  <c r="AD287" i="6" s="1"/>
  <c r="AC286" i="6"/>
  <c r="AD286" i="6" s="1"/>
  <c r="AC285" i="6"/>
  <c r="AD285" i="6" s="1"/>
  <c r="AC284" i="6"/>
  <c r="AD284" i="6" s="1"/>
  <c r="AC283" i="6"/>
  <c r="AD283" i="6" s="1"/>
  <c r="AC282" i="6"/>
  <c r="AD282" i="6" s="1"/>
  <c r="AC277" i="6"/>
  <c r="AD277" i="6" s="1"/>
  <c r="AC276" i="6"/>
  <c r="AD276" i="6" s="1"/>
  <c r="AC275" i="6"/>
  <c r="AD275" i="6" s="1"/>
  <c r="AC274" i="6"/>
  <c r="AD274" i="6" s="1"/>
  <c r="AC156" i="6"/>
  <c r="AD156" i="6" s="1"/>
  <c r="AC155" i="6"/>
  <c r="AD155" i="6" s="1"/>
  <c r="AC154" i="6"/>
  <c r="AD154" i="6" s="1"/>
  <c r="AC153" i="6"/>
  <c r="AD153" i="6" s="1"/>
  <c r="AC152" i="6"/>
  <c r="AD152" i="6" s="1"/>
  <c r="AC144" i="6"/>
  <c r="AD144" i="6" s="1"/>
  <c r="AC143" i="6"/>
  <c r="AD143" i="6" s="1"/>
  <c r="AC142" i="6"/>
  <c r="AD142" i="6" s="1"/>
  <c r="AC141" i="6"/>
  <c r="AD141" i="6" s="1"/>
  <c r="AC140" i="6"/>
  <c r="AD140" i="6" s="1"/>
  <c r="AC139" i="6"/>
  <c r="AD139" i="6" s="1"/>
  <c r="AC138" i="6"/>
  <c r="AD138" i="6" s="1"/>
  <c r="AC137" i="6"/>
  <c r="AD137" i="6" s="1"/>
  <c r="AC136" i="6"/>
  <c r="AD136" i="6" s="1"/>
  <c r="AC135" i="6"/>
  <c r="AD135" i="6" s="1"/>
  <c r="AC134" i="6"/>
  <c r="AD134" i="6" s="1"/>
  <c r="AC133" i="6"/>
  <c r="AD133" i="6" s="1"/>
  <c r="AC132" i="6"/>
  <c r="AD132" i="6" s="1"/>
  <c r="AC129" i="6"/>
  <c r="AD129" i="6" s="1"/>
  <c r="AC117" i="6"/>
  <c r="AD117" i="6" s="1"/>
  <c r="AC118" i="6"/>
  <c r="AD118" i="6" s="1"/>
  <c r="AC119" i="6"/>
  <c r="AD119" i="6" s="1"/>
  <c r="AC120" i="6"/>
  <c r="AD120" i="6" s="1"/>
  <c r="AC121" i="6"/>
  <c r="AD121" i="6" s="1"/>
  <c r="AC122" i="6"/>
  <c r="AD122" i="6" s="1"/>
  <c r="AC123" i="6"/>
  <c r="AD123" i="6" s="1"/>
  <c r="AC124" i="6"/>
  <c r="AD124" i="6" s="1"/>
  <c r="AC125" i="6"/>
  <c r="AD125" i="6" s="1"/>
  <c r="AC126" i="6"/>
  <c r="AD126" i="6" s="1"/>
  <c r="AC127" i="6"/>
  <c r="AD127" i="6" s="1"/>
  <c r="AC116" i="6"/>
  <c r="AD116" i="6" s="1"/>
  <c r="AC91" i="6"/>
  <c r="AD91" i="6" s="1"/>
  <c r="AC92" i="6"/>
  <c r="AD92" i="6" s="1"/>
  <c r="AC93" i="6"/>
  <c r="AD93" i="6" s="1"/>
  <c r="AC94" i="6"/>
  <c r="AD94" i="6" s="1"/>
  <c r="AC95" i="6"/>
  <c r="AD95" i="6" s="1"/>
  <c r="AC96" i="6"/>
  <c r="AD96" i="6" s="1"/>
  <c r="AC97" i="6"/>
  <c r="AD97" i="6" s="1"/>
  <c r="AC90" i="6"/>
  <c r="AD90" i="6" s="1"/>
  <c r="AC101" i="6"/>
  <c r="AD101" i="6" s="1"/>
  <c r="AC102" i="6"/>
  <c r="AD102" i="6" s="1"/>
  <c r="AC103" i="6"/>
  <c r="AD103" i="6" s="1"/>
  <c r="AC104" i="6"/>
  <c r="AD104" i="6" s="1"/>
  <c r="AC105" i="6"/>
  <c r="AD105" i="6" s="1"/>
  <c r="AC106" i="6"/>
  <c r="AD106" i="6" s="1"/>
  <c r="AC107" i="6"/>
  <c r="AD107" i="6" s="1"/>
  <c r="AC108" i="6"/>
  <c r="AD108" i="6" s="1"/>
  <c r="AC109" i="6"/>
  <c r="AD109" i="6" s="1"/>
  <c r="AC110" i="6"/>
  <c r="AD110" i="6" s="1"/>
  <c r="AC100" i="6"/>
  <c r="AD100" i="6" s="1"/>
  <c r="H90" i="10"/>
  <c r="H89" i="10"/>
  <c r="H87" i="10"/>
  <c r="H86" i="10"/>
  <c r="H85" i="10"/>
  <c r="H84" i="10"/>
  <c r="H83" i="10"/>
  <c r="D83" i="10"/>
  <c r="H80" i="10"/>
  <c r="E80" i="10"/>
  <c r="H78" i="10"/>
  <c r="H77" i="10"/>
  <c r="D76" i="10"/>
  <c r="D75" i="10"/>
  <c r="H72" i="10"/>
  <c r="H71" i="10"/>
  <c r="H70" i="10"/>
  <c r="H69" i="10"/>
  <c r="H67" i="10"/>
  <c r="H65" i="10"/>
  <c r="H64" i="10"/>
  <c r="D64" i="10"/>
  <c r="F56" i="10"/>
  <c r="D56" i="10"/>
  <c r="F55" i="10"/>
  <c r="D55" i="10"/>
  <c r="F53" i="10"/>
  <c r="D53" i="10"/>
  <c r="F50" i="10"/>
  <c r="D50" i="10"/>
  <c r="F49" i="10"/>
  <c r="D49" i="10"/>
  <c r="F48" i="10"/>
  <c r="D48" i="10"/>
  <c r="F47" i="10"/>
  <c r="D47" i="10"/>
  <c r="F42" i="10"/>
  <c r="D42" i="10"/>
  <c r="F41" i="10"/>
  <c r="D41" i="10"/>
  <c r="F40" i="10"/>
  <c r="D40" i="10"/>
  <c r="F39" i="10"/>
  <c r="D39" i="10"/>
  <c r="F35" i="10"/>
  <c r="D35" i="10"/>
  <c r="F34" i="10"/>
  <c r="D34" i="10"/>
  <c r="H30" i="10"/>
  <c r="F30" i="10"/>
  <c r="D30" i="10"/>
  <c r="H29" i="10"/>
  <c r="F29" i="10"/>
  <c r="D29" i="10"/>
  <c r="H27" i="10"/>
  <c r="F27" i="10"/>
  <c r="D27" i="10"/>
  <c r="H26" i="10"/>
  <c r="F26" i="10"/>
  <c r="D26" i="10"/>
  <c r="H25" i="10"/>
  <c r="F25" i="10"/>
  <c r="D25" i="10"/>
  <c r="H24" i="10"/>
  <c r="F24" i="10"/>
  <c r="D24" i="10"/>
  <c r="H23" i="10"/>
  <c r="F23" i="10"/>
  <c r="D23" i="10"/>
  <c r="H22" i="10"/>
  <c r="F22" i="10"/>
  <c r="D22" i="10"/>
  <c r="H21" i="10"/>
  <c r="F21" i="10"/>
  <c r="D21" i="10"/>
  <c r="H20" i="10"/>
  <c r="F20" i="10"/>
  <c r="D20" i="10"/>
  <c r="H19" i="10"/>
  <c r="F19" i="10"/>
  <c r="D19" i="10"/>
  <c r="H18" i="10"/>
  <c r="F18" i="10"/>
  <c r="D18" i="10"/>
  <c r="H14" i="10"/>
  <c r="F14" i="10"/>
  <c r="D14" i="10"/>
  <c r="H13" i="10"/>
  <c r="F13" i="10"/>
  <c r="D13" i="10"/>
  <c r="H12" i="10"/>
  <c r="F12" i="10"/>
  <c r="D12" i="10"/>
  <c r="H11" i="10"/>
  <c r="F11" i="10"/>
  <c r="D11" i="10"/>
  <c r="H10" i="10"/>
  <c r="F10" i="10"/>
  <c r="D10" i="10"/>
  <c r="H9" i="10"/>
  <c r="F9" i="10"/>
  <c r="D9" i="10"/>
  <c r="H8" i="10"/>
  <c r="F8" i="10"/>
  <c r="D8" i="10"/>
  <c r="H7" i="10"/>
  <c r="F7" i="10"/>
  <c r="D7" i="10"/>
  <c r="H6" i="10"/>
  <c r="F6" i="10"/>
  <c r="D6" i="10"/>
  <c r="H5" i="10"/>
  <c r="F5" i="10"/>
  <c r="D5" i="10"/>
  <c r="H4" i="10"/>
  <c r="F4" i="10"/>
  <c r="D4" i="10"/>
  <c r="H3" i="10"/>
  <c r="F3" i="10"/>
  <c r="D3" i="10"/>
  <c r="H1" i="10"/>
  <c r="D1" i="10"/>
  <c r="AD163" i="6" l="1"/>
  <c r="AG163" i="6"/>
  <c r="AD164" i="6"/>
  <c r="AG164" i="6"/>
  <c r="AD165" i="6"/>
  <c r="AG165" i="6"/>
  <c r="AD166" i="6"/>
  <c r="AG166" i="6"/>
  <c r="AD167" i="6"/>
  <c r="AG167" i="6"/>
  <c r="AD168" i="6"/>
  <c r="AG168" i="6"/>
  <c r="AD169" i="6"/>
  <c r="AG169" i="6"/>
  <c r="AD170" i="6"/>
  <c r="AG170" i="6"/>
  <c r="AD171" i="6"/>
  <c r="AG171" i="6"/>
  <c r="AD172" i="6"/>
  <c r="AG172" i="6"/>
  <c r="AD173" i="6"/>
  <c r="AG173" i="6"/>
  <c r="AD174" i="6"/>
  <c r="AG174" i="6"/>
  <c r="AD175" i="6"/>
  <c r="AG175" i="6"/>
  <c r="AD176" i="6"/>
  <c r="AG176" i="6"/>
  <c r="AD177" i="6"/>
  <c r="AG177" i="6"/>
  <c r="AD178" i="6"/>
  <c r="AG178" i="6"/>
  <c r="AD179" i="6"/>
  <c r="AG179" i="6"/>
  <c r="AD180" i="6"/>
  <c r="AG180" i="6"/>
  <c r="AD183" i="6"/>
  <c r="AG183" i="6"/>
  <c r="AD184" i="6"/>
  <c r="AG184" i="6"/>
  <c r="AD185" i="6"/>
  <c r="AG185" i="6"/>
  <c r="AD186" i="6"/>
  <c r="AG186" i="6"/>
  <c r="AD187" i="6"/>
  <c r="AG187" i="6"/>
  <c r="AD188" i="6"/>
  <c r="AG188" i="6"/>
  <c r="AD189" i="6"/>
  <c r="AG189" i="6"/>
  <c r="AD190" i="6"/>
  <c r="AG190" i="6"/>
  <c r="AD191" i="6"/>
  <c r="AG191" i="6"/>
  <c r="AD192" i="6"/>
  <c r="AG192" i="6"/>
  <c r="AD193" i="6"/>
  <c r="AG193" i="6"/>
  <c r="AD194" i="6"/>
  <c r="AG194" i="6"/>
  <c r="AD195" i="6"/>
  <c r="AG195" i="6"/>
  <c r="AD196" i="6"/>
  <c r="AG196" i="6"/>
  <c r="AD197" i="6"/>
  <c r="AG197" i="6"/>
  <c r="AD198" i="6"/>
  <c r="AG198" i="6"/>
  <c r="AD199" i="6"/>
  <c r="AG199" i="6"/>
  <c r="H184" i="6"/>
  <c r="H185" i="6"/>
  <c r="H186" i="6"/>
  <c r="H187" i="6"/>
  <c r="H188" i="6"/>
  <c r="H189" i="6"/>
  <c r="H190" i="6"/>
  <c r="H191" i="6"/>
  <c r="H192" i="6"/>
  <c r="H193" i="6"/>
  <c r="H194" i="6"/>
  <c r="H195" i="6"/>
  <c r="H196" i="6"/>
  <c r="H197" i="6"/>
  <c r="H198" i="6"/>
  <c r="H199" i="6"/>
  <c r="H183" i="6"/>
  <c r="H164" i="6"/>
  <c r="H165" i="6"/>
  <c r="H166" i="6"/>
  <c r="H167" i="6"/>
  <c r="H168" i="6"/>
  <c r="H169" i="6"/>
  <c r="H170" i="6"/>
  <c r="H171" i="6"/>
  <c r="H172" i="6"/>
  <c r="H173" i="6"/>
  <c r="H174" i="6"/>
  <c r="H175" i="6"/>
  <c r="H176" i="6"/>
  <c r="H177" i="6"/>
  <c r="H178" i="6"/>
  <c r="H179" i="6"/>
  <c r="H180" i="6"/>
  <c r="H163" i="6"/>
  <c r="G234" i="6"/>
  <c r="G43" i="6"/>
  <c r="F43" i="6"/>
  <c r="Q278" i="6"/>
  <c r="Q279" i="6"/>
  <c r="N278" i="6"/>
  <c r="O278" i="6"/>
  <c r="P278" i="6"/>
  <c r="N279" i="6"/>
  <c r="O279" i="6"/>
  <c r="P279" i="6"/>
  <c r="G278" i="6"/>
  <c r="G279" i="6"/>
  <c r="G100" i="6" l="1"/>
  <c r="G101" i="6"/>
  <c r="G102" i="6"/>
  <c r="G103" i="6"/>
  <c r="G104" i="6"/>
  <c r="G105" i="6"/>
  <c r="G106" i="6"/>
  <c r="G107" i="6"/>
  <c r="G108" i="6"/>
  <c r="G109" i="6"/>
  <c r="G110" i="6"/>
  <c r="G113" i="6"/>
  <c r="G114" i="6"/>
  <c r="G115" i="6"/>
  <c r="G116" i="6"/>
  <c r="G117" i="6"/>
  <c r="G118" i="6"/>
  <c r="G119" i="6"/>
  <c r="G120" i="6"/>
  <c r="G121" i="6"/>
  <c r="G122" i="6"/>
  <c r="G123" i="6"/>
  <c r="G124" i="6"/>
  <c r="G125" i="6"/>
  <c r="G126" i="6"/>
  <c r="G127" i="6"/>
  <c r="G128" i="6"/>
  <c r="G129" i="6"/>
  <c r="G132" i="6"/>
  <c r="G133" i="6"/>
  <c r="G134" i="6"/>
  <c r="G135" i="6"/>
  <c r="G136" i="6"/>
  <c r="G137" i="6"/>
  <c r="G138" i="6"/>
  <c r="G139" i="6"/>
  <c r="G140" i="6"/>
  <c r="G141" i="6"/>
  <c r="G142" i="6"/>
  <c r="G143" i="6"/>
  <c r="G144" i="6"/>
  <c r="G147" i="6"/>
  <c r="G148" i="6"/>
  <c r="G149" i="6"/>
  <c r="G152" i="6"/>
  <c r="G153" i="6"/>
  <c r="G154" i="6"/>
  <c r="G155" i="6"/>
  <c r="G156" i="6"/>
  <c r="G159" i="6"/>
  <c r="G160" i="6"/>
  <c r="G163" i="6"/>
  <c r="G164" i="6"/>
  <c r="G165" i="6"/>
  <c r="G166" i="6"/>
  <c r="G167" i="6"/>
  <c r="G168" i="6"/>
  <c r="G169" i="6"/>
  <c r="G170" i="6"/>
  <c r="G171" i="6"/>
  <c r="G172" i="6"/>
  <c r="G173" i="6"/>
  <c r="G174" i="6"/>
  <c r="G175" i="6"/>
  <c r="G176" i="6"/>
  <c r="G177" i="6"/>
  <c r="G178" i="6"/>
  <c r="G179" i="6"/>
  <c r="G180" i="6"/>
  <c r="G183" i="6"/>
  <c r="G184" i="6"/>
  <c r="G185" i="6"/>
  <c r="G186" i="6"/>
  <c r="G187" i="6"/>
  <c r="G188" i="6"/>
  <c r="G189" i="6"/>
  <c r="G190" i="6"/>
  <c r="G191" i="6"/>
  <c r="G192" i="6"/>
  <c r="G193" i="6"/>
  <c r="G194" i="6"/>
  <c r="G195" i="6"/>
  <c r="G196" i="6"/>
  <c r="G197" i="6"/>
  <c r="G198" i="6"/>
  <c r="G199" i="6"/>
  <c r="G202" i="6"/>
  <c r="G203" i="6"/>
  <c r="G204" i="6"/>
  <c r="G205" i="6"/>
  <c r="G208" i="6"/>
  <c r="G209" i="6"/>
  <c r="G210" i="6"/>
  <c r="G211" i="6"/>
  <c r="G212" i="6"/>
  <c r="G213" i="6"/>
  <c r="G214" i="6"/>
  <c r="G215" i="6"/>
  <c r="G218" i="6"/>
  <c r="G219" i="6"/>
  <c r="G220" i="6"/>
  <c r="G221" i="6"/>
  <c r="G222" i="6"/>
  <c r="G223" i="6"/>
  <c r="G224" i="6"/>
  <c r="G228" i="6"/>
  <c r="G229" i="6"/>
  <c r="G230" i="6"/>
  <c r="G231" i="6"/>
  <c r="G232" i="6"/>
  <c r="G233" i="6"/>
  <c r="G235" i="6"/>
  <c r="G236" i="6"/>
  <c r="G239" i="6"/>
  <c r="G240" i="6"/>
  <c r="G241" i="6"/>
  <c r="G242" i="6"/>
  <c r="G243" i="6"/>
  <c r="G244" i="6"/>
  <c r="G245" i="6"/>
  <c r="G246" i="6"/>
  <c r="G250" i="6"/>
  <c r="G251" i="6"/>
  <c r="G252" i="6"/>
  <c r="G253" i="6"/>
  <c r="G254" i="6"/>
  <c r="G255" i="6"/>
  <c r="G258" i="6"/>
  <c r="G259" i="6"/>
  <c r="G260" i="6"/>
  <c r="G261" i="6"/>
  <c r="G262" i="6"/>
  <c r="G265" i="6"/>
  <c r="G266" i="6"/>
  <c r="G267" i="6"/>
  <c r="G268" i="6"/>
  <c r="G269" i="6"/>
  <c r="G270" i="6"/>
  <c r="G271" i="6"/>
  <c r="G274" i="6"/>
  <c r="G275" i="6"/>
  <c r="G276" i="6"/>
  <c r="G277" i="6"/>
  <c r="G282" i="6"/>
  <c r="G283" i="6"/>
  <c r="G284" i="6"/>
  <c r="G285" i="6"/>
  <c r="G286" i="6"/>
  <c r="G287" i="6"/>
  <c r="G288" i="6"/>
  <c r="G289" i="6"/>
  <c r="G292" i="6"/>
  <c r="G293" i="6"/>
  <c r="G294" i="6"/>
  <c r="G295" i="6"/>
  <c r="G296" i="6"/>
  <c r="G299" i="6"/>
  <c r="G300" i="6"/>
  <c r="G301" i="6"/>
  <c r="G302" i="6"/>
  <c r="G303" i="6"/>
  <c r="G90" i="6"/>
  <c r="G91" i="6"/>
  <c r="G92" i="6"/>
  <c r="G93" i="6"/>
  <c r="G94" i="6"/>
  <c r="G95" i="6"/>
  <c r="G96" i="6"/>
  <c r="G97" i="6"/>
  <c r="G82" i="6" l="1"/>
  <c r="G83" i="6"/>
  <c r="G84" i="6"/>
  <c r="G85" i="6"/>
  <c r="G86" i="6"/>
  <c r="G87" i="6"/>
  <c r="G81" i="6"/>
  <c r="N300" i="6"/>
  <c r="O300" i="6"/>
  <c r="P300" i="6"/>
  <c r="Q300" i="6"/>
  <c r="N301" i="6"/>
  <c r="O301" i="6"/>
  <c r="P301" i="6"/>
  <c r="Q301" i="6"/>
  <c r="N302" i="6"/>
  <c r="O302" i="6"/>
  <c r="P302" i="6"/>
  <c r="Q302" i="6"/>
  <c r="N303" i="6"/>
  <c r="O303" i="6"/>
  <c r="P303" i="6"/>
  <c r="Q303" i="6"/>
  <c r="P299" i="6"/>
  <c r="O299" i="6"/>
  <c r="N299" i="6"/>
  <c r="N293" i="6"/>
  <c r="O293" i="6"/>
  <c r="P293" i="6"/>
  <c r="Q293" i="6"/>
  <c r="N294" i="6"/>
  <c r="O294" i="6"/>
  <c r="P294" i="6"/>
  <c r="Q294" i="6"/>
  <c r="N295" i="6"/>
  <c r="O295" i="6"/>
  <c r="P295" i="6"/>
  <c r="Q295" i="6"/>
  <c r="N296" i="6"/>
  <c r="O296" i="6"/>
  <c r="P296" i="6"/>
  <c r="Q296" i="6"/>
  <c r="P292" i="6"/>
  <c r="O292" i="6"/>
  <c r="N292" i="6"/>
  <c r="N283" i="6"/>
  <c r="O283" i="6"/>
  <c r="P283" i="6"/>
  <c r="Q283" i="6"/>
  <c r="N284" i="6"/>
  <c r="O284" i="6"/>
  <c r="P284" i="6"/>
  <c r="Q284" i="6"/>
  <c r="N285" i="6"/>
  <c r="O285" i="6"/>
  <c r="P285" i="6"/>
  <c r="Q285" i="6"/>
  <c r="N286" i="6"/>
  <c r="O286" i="6"/>
  <c r="P286" i="6"/>
  <c r="Q286" i="6"/>
  <c r="N287" i="6"/>
  <c r="O287" i="6"/>
  <c r="P287" i="6"/>
  <c r="Q287" i="6"/>
  <c r="N288" i="6"/>
  <c r="O288" i="6"/>
  <c r="P288" i="6"/>
  <c r="Q288" i="6"/>
  <c r="N289" i="6"/>
  <c r="O289" i="6"/>
  <c r="P289" i="6"/>
  <c r="Q289" i="6"/>
  <c r="P282" i="6"/>
  <c r="O282" i="6"/>
  <c r="N282" i="6"/>
  <c r="N275" i="6"/>
  <c r="O275" i="6"/>
  <c r="P275" i="6"/>
  <c r="Q275" i="6"/>
  <c r="N276" i="6"/>
  <c r="O276" i="6"/>
  <c r="P276" i="6"/>
  <c r="Q276" i="6"/>
  <c r="N277" i="6"/>
  <c r="O277" i="6"/>
  <c r="P277" i="6"/>
  <c r="Q277" i="6"/>
  <c r="P274" i="6"/>
  <c r="O274" i="6"/>
  <c r="N274" i="6"/>
  <c r="N266" i="6"/>
  <c r="O266" i="6"/>
  <c r="P266" i="6"/>
  <c r="Q266" i="6"/>
  <c r="N267" i="6"/>
  <c r="O267" i="6"/>
  <c r="P267" i="6"/>
  <c r="Q267" i="6"/>
  <c r="N268" i="6"/>
  <c r="O268" i="6"/>
  <c r="P268" i="6"/>
  <c r="Q268" i="6"/>
  <c r="N269" i="6"/>
  <c r="O269" i="6"/>
  <c r="P269" i="6"/>
  <c r="Q269" i="6"/>
  <c r="N270" i="6"/>
  <c r="O270" i="6"/>
  <c r="P270" i="6"/>
  <c r="Q270" i="6"/>
  <c r="N271" i="6"/>
  <c r="O271" i="6"/>
  <c r="P271" i="6"/>
  <c r="Q271" i="6"/>
  <c r="P265" i="6"/>
  <c r="O265" i="6"/>
  <c r="N265" i="6"/>
  <c r="N259" i="6"/>
  <c r="O259" i="6"/>
  <c r="P259" i="6"/>
  <c r="Q259" i="6"/>
  <c r="N260" i="6"/>
  <c r="O260" i="6"/>
  <c r="P260" i="6"/>
  <c r="Q260" i="6"/>
  <c r="N261" i="6"/>
  <c r="O261" i="6"/>
  <c r="P261" i="6"/>
  <c r="Q261" i="6"/>
  <c r="N262" i="6"/>
  <c r="O262" i="6"/>
  <c r="P262" i="6"/>
  <c r="Q262" i="6"/>
  <c r="P258" i="6"/>
  <c r="O258" i="6"/>
  <c r="N258" i="6"/>
  <c r="N251" i="6"/>
  <c r="O251" i="6"/>
  <c r="P251" i="6"/>
  <c r="Q251" i="6"/>
  <c r="N252" i="6"/>
  <c r="O252" i="6"/>
  <c r="P252" i="6"/>
  <c r="Q252" i="6"/>
  <c r="N253" i="6"/>
  <c r="O253" i="6"/>
  <c r="P253" i="6"/>
  <c r="Q253" i="6"/>
  <c r="N254" i="6"/>
  <c r="O254" i="6"/>
  <c r="P254" i="6"/>
  <c r="Q254" i="6"/>
  <c r="N255" i="6"/>
  <c r="O255" i="6"/>
  <c r="P255" i="6"/>
  <c r="Q255" i="6"/>
  <c r="P250" i="6"/>
  <c r="O250" i="6"/>
  <c r="N250" i="6"/>
  <c r="N240" i="6"/>
  <c r="O240" i="6"/>
  <c r="P240" i="6"/>
  <c r="Q240" i="6"/>
  <c r="N241" i="6"/>
  <c r="O241" i="6"/>
  <c r="P241" i="6"/>
  <c r="Q241" i="6"/>
  <c r="N242" i="6"/>
  <c r="O242" i="6"/>
  <c r="P242" i="6"/>
  <c r="Q242" i="6"/>
  <c r="N243" i="6"/>
  <c r="O243" i="6"/>
  <c r="P243" i="6"/>
  <c r="Q243" i="6"/>
  <c r="N244" i="6"/>
  <c r="O244" i="6"/>
  <c r="P244" i="6"/>
  <c r="Q244" i="6"/>
  <c r="N245" i="6"/>
  <c r="O245" i="6"/>
  <c r="P245" i="6"/>
  <c r="Q245" i="6"/>
  <c r="N246" i="6"/>
  <c r="O246" i="6"/>
  <c r="P246" i="6"/>
  <c r="Q246" i="6"/>
  <c r="P239" i="6"/>
  <c r="O239" i="6"/>
  <c r="N239" i="6"/>
  <c r="N229" i="6"/>
  <c r="O229" i="6"/>
  <c r="P229" i="6"/>
  <c r="Q229" i="6"/>
  <c r="N230" i="6"/>
  <c r="O230" i="6"/>
  <c r="P230" i="6"/>
  <c r="Q230" i="6"/>
  <c r="N231" i="6"/>
  <c r="O231" i="6"/>
  <c r="P231" i="6"/>
  <c r="Q231" i="6"/>
  <c r="N232" i="6"/>
  <c r="O232" i="6"/>
  <c r="P232" i="6"/>
  <c r="Q232" i="6"/>
  <c r="N233" i="6"/>
  <c r="O233" i="6"/>
  <c r="P233" i="6"/>
  <c r="Q233" i="6"/>
  <c r="N234" i="6"/>
  <c r="O234" i="6"/>
  <c r="P234" i="6"/>
  <c r="Q234" i="6"/>
  <c r="N235" i="6"/>
  <c r="O235" i="6"/>
  <c r="P235" i="6"/>
  <c r="Q235" i="6"/>
  <c r="N236" i="6"/>
  <c r="O236" i="6"/>
  <c r="P236" i="6"/>
  <c r="Q236" i="6"/>
  <c r="P228" i="6"/>
  <c r="O228" i="6"/>
  <c r="N228" i="6"/>
  <c r="N219" i="6"/>
  <c r="O219" i="6"/>
  <c r="P219" i="6"/>
  <c r="Q219" i="6"/>
  <c r="N220" i="6"/>
  <c r="O220" i="6"/>
  <c r="P220" i="6"/>
  <c r="Q220" i="6"/>
  <c r="N221" i="6"/>
  <c r="O221" i="6"/>
  <c r="P221" i="6"/>
  <c r="Q221" i="6"/>
  <c r="N222" i="6"/>
  <c r="O222" i="6"/>
  <c r="P222" i="6"/>
  <c r="Q222" i="6"/>
  <c r="N223" i="6"/>
  <c r="O223" i="6"/>
  <c r="P223" i="6"/>
  <c r="Q223" i="6"/>
  <c r="N224" i="6"/>
  <c r="O224" i="6"/>
  <c r="P224" i="6"/>
  <c r="Q224" i="6"/>
  <c r="P218" i="6"/>
  <c r="O218" i="6"/>
  <c r="N218" i="6"/>
  <c r="N209" i="6"/>
  <c r="O209" i="6"/>
  <c r="P209" i="6"/>
  <c r="Q209" i="6"/>
  <c r="N210" i="6"/>
  <c r="O210" i="6"/>
  <c r="P210" i="6"/>
  <c r="Q210" i="6"/>
  <c r="N211" i="6"/>
  <c r="O211" i="6"/>
  <c r="P211" i="6"/>
  <c r="Q211" i="6"/>
  <c r="N212" i="6"/>
  <c r="O212" i="6"/>
  <c r="P212" i="6"/>
  <c r="Q212" i="6"/>
  <c r="N213" i="6"/>
  <c r="O213" i="6"/>
  <c r="P213" i="6"/>
  <c r="Q213" i="6"/>
  <c r="N214" i="6"/>
  <c r="O214" i="6"/>
  <c r="P214" i="6"/>
  <c r="Q214" i="6"/>
  <c r="N215" i="6"/>
  <c r="O215" i="6"/>
  <c r="P215" i="6"/>
  <c r="Q215" i="6"/>
  <c r="P208" i="6"/>
  <c r="O208" i="6"/>
  <c r="N208" i="6"/>
  <c r="N203" i="6"/>
  <c r="O203" i="6"/>
  <c r="P203" i="6"/>
  <c r="Q203" i="6"/>
  <c r="N204" i="6"/>
  <c r="O204" i="6"/>
  <c r="P204" i="6"/>
  <c r="Q204" i="6"/>
  <c r="N205" i="6"/>
  <c r="O205" i="6"/>
  <c r="P205" i="6"/>
  <c r="Q205" i="6"/>
  <c r="P202" i="6"/>
  <c r="O202" i="6"/>
  <c r="N202" i="6"/>
  <c r="N184" i="6"/>
  <c r="O184" i="6"/>
  <c r="P184" i="6"/>
  <c r="Q184" i="6"/>
  <c r="N185" i="6"/>
  <c r="O185" i="6"/>
  <c r="P185" i="6"/>
  <c r="Q185" i="6"/>
  <c r="N186" i="6"/>
  <c r="O186" i="6"/>
  <c r="P186" i="6"/>
  <c r="Q186" i="6"/>
  <c r="N187" i="6"/>
  <c r="O187" i="6"/>
  <c r="P187" i="6"/>
  <c r="Q187" i="6"/>
  <c r="N188" i="6"/>
  <c r="O188" i="6"/>
  <c r="P188" i="6"/>
  <c r="Q188" i="6"/>
  <c r="N189" i="6"/>
  <c r="O189" i="6"/>
  <c r="P189" i="6"/>
  <c r="Q189" i="6"/>
  <c r="N190" i="6"/>
  <c r="O190" i="6"/>
  <c r="P190" i="6"/>
  <c r="Q190" i="6"/>
  <c r="N191" i="6"/>
  <c r="O191" i="6"/>
  <c r="P191" i="6"/>
  <c r="Q191" i="6"/>
  <c r="N192" i="6"/>
  <c r="O192" i="6"/>
  <c r="P192" i="6"/>
  <c r="Q192" i="6"/>
  <c r="N193" i="6"/>
  <c r="O193" i="6"/>
  <c r="P193" i="6"/>
  <c r="Q193" i="6"/>
  <c r="N194" i="6"/>
  <c r="O194" i="6"/>
  <c r="P194" i="6"/>
  <c r="Q194" i="6"/>
  <c r="N195" i="6"/>
  <c r="O195" i="6"/>
  <c r="P195" i="6"/>
  <c r="Q195" i="6"/>
  <c r="N196" i="6"/>
  <c r="O196" i="6"/>
  <c r="P196" i="6"/>
  <c r="Q196" i="6"/>
  <c r="N197" i="6"/>
  <c r="O197" i="6"/>
  <c r="P197" i="6"/>
  <c r="Q197" i="6"/>
  <c r="N198" i="6"/>
  <c r="O198" i="6"/>
  <c r="P198" i="6"/>
  <c r="Q198" i="6"/>
  <c r="N199" i="6"/>
  <c r="O199" i="6"/>
  <c r="P199" i="6"/>
  <c r="Q199" i="6"/>
  <c r="P183" i="6"/>
  <c r="O183" i="6"/>
  <c r="N183" i="6"/>
  <c r="N164" i="6"/>
  <c r="O164" i="6"/>
  <c r="P164" i="6"/>
  <c r="Q164" i="6"/>
  <c r="N165" i="6"/>
  <c r="O165" i="6"/>
  <c r="P165" i="6"/>
  <c r="Q165" i="6"/>
  <c r="N166" i="6"/>
  <c r="O166" i="6"/>
  <c r="P166" i="6"/>
  <c r="Q166" i="6"/>
  <c r="N167" i="6"/>
  <c r="O167" i="6"/>
  <c r="P167" i="6"/>
  <c r="Q167" i="6"/>
  <c r="N168" i="6"/>
  <c r="O168" i="6"/>
  <c r="P168" i="6"/>
  <c r="Q168" i="6"/>
  <c r="N169" i="6"/>
  <c r="O169" i="6"/>
  <c r="P169" i="6"/>
  <c r="Q169" i="6"/>
  <c r="N170" i="6"/>
  <c r="O170" i="6"/>
  <c r="P170" i="6"/>
  <c r="Q170" i="6"/>
  <c r="N171" i="6"/>
  <c r="O171" i="6"/>
  <c r="P171" i="6"/>
  <c r="Q171" i="6"/>
  <c r="N172" i="6"/>
  <c r="O172" i="6"/>
  <c r="P172" i="6"/>
  <c r="Q172" i="6"/>
  <c r="N173" i="6"/>
  <c r="O173" i="6"/>
  <c r="P173" i="6"/>
  <c r="Q173" i="6"/>
  <c r="N174" i="6"/>
  <c r="O174" i="6"/>
  <c r="P174" i="6"/>
  <c r="Q174" i="6"/>
  <c r="N175" i="6"/>
  <c r="O175" i="6"/>
  <c r="P175" i="6"/>
  <c r="Q175" i="6"/>
  <c r="N176" i="6"/>
  <c r="O176" i="6"/>
  <c r="P176" i="6"/>
  <c r="Q176" i="6"/>
  <c r="N177" i="6"/>
  <c r="O177" i="6"/>
  <c r="P177" i="6"/>
  <c r="Q177" i="6"/>
  <c r="N178" i="6"/>
  <c r="O178" i="6"/>
  <c r="P178" i="6"/>
  <c r="Q178" i="6"/>
  <c r="N179" i="6"/>
  <c r="O179" i="6"/>
  <c r="P179" i="6"/>
  <c r="Q179" i="6"/>
  <c r="N180" i="6"/>
  <c r="O180" i="6"/>
  <c r="P180" i="6"/>
  <c r="Q180" i="6"/>
  <c r="P163" i="6"/>
  <c r="O163" i="6"/>
  <c r="N163" i="6"/>
  <c r="N160" i="6"/>
  <c r="O160" i="6"/>
  <c r="P160" i="6"/>
  <c r="Q160" i="6"/>
  <c r="P159" i="6"/>
  <c r="O159" i="6"/>
  <c r="N159" i="6"/>
  <c r="N153" i="6"/>
  <c r="O153" i="6"/>
  <c r="P153" i="6"/>
  <c r="Q153" i="6"/>
  <c r="N154" i="6"/>
  <c r="O154" i="6"/>
  <c r="P154" i="6"/>
  <c r="Q154" i="6"/>
  <c r="N155" i="6"/>
  <c r="O155" i="6"/>
  <c r="P155" i="6"/>
  <c r="Q155" i="6"/>
  <c r="N156" i="6"/>
  <c r="O156" i="6"/>
  <c r="P156" i="6"/>
  <c r="Q156" i="6"/>
  <c r="P152" i="6"/>
  <c r="O152" i="6"/>
  <c r="N152" i="6"/>
  <c r="N148" i="6"/>
  <c r="O148" i="6"/>
  <c r="P148" i="6"/>
  <c r="Q148" i="6"/>
  <c r="N149" i="6"/>
  <c r="O149" i="6"/>
  <c r="P149" i="6"/>
  <c r="Q149" i="6"/>
  <c r="P147" i="6"/>
  <c r="O147" i="6"/>
  <c r="N147" i="6"/>
  <c r="N133" i="6"/>
  <c r="O133" i="6"/>
  <c r="P133" i="6"/>
  <c r="Q133" i="6"/>
  <c r="N134" i="6"/>
  <c r="O134" i="6"/>
  <c r="P134" i="6"/>
  <c r="Q134" i="6"/>
  <c r="N135" i="6"/>
  <c r="O135" i="6"/>
  <c r="P135" i="6"/>
  <c r="Q135" i="6"/>
  <c r="N136" i="6"/>
  <c r="O136" i="6"/>
  <c r="P136" i="6"/>
  <c r="Q136" i="6"/>
  <c r="N137" i="6"/>
  <c r="O137" i="6"/>
  <c r="P137" i="6"/>
  <c r="Q137" i="6"/>
  <c r="N138" i="6"/>
  <c r="O138" i="6"/>
  <c r="P138" i="6"/>
  <c r="Q138" i="6"/>
  <c r="N139" i="6"/>
  <c r="O139" i="6"/>
  <c r="P139" i="6"/>
  <c r="Q139" i="6"/>
  <c r="N140" i="6"/>
  <c r="O140" i="6"/>
  <c r="P140" i="6"/>
  <c r="Q140" i="6"/>
  <c r="N141" i="6"/>
  <c r="O141" i="6"/>
  <c r="P141" i="6"/>
  <c r="Q141" i="6"/>
  <c r="N142" i="6"/>
  <c r="O142" i="6"/>
  <c r="P142" i="6"/>
  <c r="Q142" i="6"/>
  <c r="N143" i="6"/>
  <c r="O143" i="6"/>
  <c r="P143" i="6"/>
  <c r="Q143" i="6"/>
  <c r="N144" i="6"/>
  <c r="O144" i="6"/>
  <c r="P144" i="6"/>
  <c r="Q144" i="6"/>
  <c r="P132" i="6"/>
  <c r="O132" i="6"/>
  <c r="N132" i="6"/>
  <c r="N114" i="6"/>
  <c r="O114" i="6"/>
  <c r="P114" i="6"/>
  <c r="Q114" i="6"/>
  <c r="N115" i="6"/>
  <c r="O115" i="6"/>
  <c r="P115" i="6"/>
  <c r="Q115" i="6"/>
  <c r="N116" i="6"/>
  <c r="O116" i="6"/>
  <c r="P116" i="6"/>
  <c r="Q116" i="6"/>
  <c r="N117" i="6"/>
  <c r="O117" i="6"/>
  <c r="P117" i="6"/>
  <c r="Q117" i="6"/>
  <c r="N118" i="6"/>
  <c r="O118" i="6"/>
  <c r="P118" i="6"/>
  <c r="Q118" i="6"/>
  <c r="N119" i="6"/>
  <c r="O119" i="6"/>
  <c r="P119" i="6"/>
  <c r="Q119" i="6"/>
  <c r="N120" i="6"/>
  <c r="O120" i="6"/>
  <c r="P120" i="6"/>
  <c r="Q120" i="6"/>
  <c r="N121" i="6"/>
  <c r="O121" i="6"/>
  <c r="P121" i="6"/>
  <c r="Q121" i="6"/>
  <c r="N122" i="6"/>
  <c r="O122" i="6"/>
  <c r="P122" i="6"/>
  <c r="Q122" i="6"/>
  <c r="N123" i="6"/>
  <c r="O123" i="6"/>
  <c r="P123" i="6"/>
  <c r="Q123" i="6"/>
  <c r="N124" i="6"/>
  <c r="O124" i="6"/>
  <c r="P124" i="6"/>
  <c r="Q124" i="6"/>
  <c r="N125" i="6"/>
  <c r="O125" i="6"/>
  <c r="P125" i="6"/>
  <c r="Q125" i="6"/>
  <c r="N126" i="6"/>
  <c r="O126" i="6"/>
  <c r="P126" i="6"/>
  <c r="Q126" i="6"/>
  <c r="N127" i="6"/>
  <c r="O127" i="6"/>
  <c r="P127" i="6"/>
  <c r="Q127" i="6"/>
  <c r="N128" i="6"/>
  <c r="O128" i="6"/>
  <c r="P128" i="6"/>
  <c r="Q128" i="6"/>
  <c r="N129" i="6"/>
  <c r="O129" i="6"/>
  <c r="P129" i="6"/>
  <c r="Q129" i="6"/>
  <c r="P113" i="6"/>
  <c r="O113" i="6"/>
  <c r="N113" i="6"/>
  <c r="N101" i="6"/>
  <c r="O101" i="6"/>
  <c r="P101" i="6"/>
  <c r="Q101" i="6"/>
  <c r="N102" i="6"/>
  <c r="O102" i="6"/>
  <c r="P102" i="6"/>
  <c r="Q102" i="6"/>
  <c r="N103" i="6"/>
  <c r="O103" i="6"/>
  <c r="P103" i="6"/>
  <c r="Q103" i="6"/>
  <c r="N104" i="6"/>
  <c r="O104" i="6"/>
  <c r="P104" i="6"/>
  <c r="Q104" i="6"/>
  <c r="N105" i="6"/>
  <c r="O105" i="6"/>
  <c r="P105" i="6"/>
  <c r="Q105" i="6"/>
  <c r="N106" i="6"/>
  <c r="O106" i="6"/>
  <c r="P106" i="6"/>
  <c r="Q106" i="6"/>
  <c r="N107" i="6"/>
  <c r="O107" i="6"/>
  <c r="P107" i="6"/>
  <c r="Q107" i="6"/>
  <c r="N108" i="6"/>
  <c r="O108" i="6"/>
  <c r="P108" i="6"/>
  <c r="Q108" i="6"/>
  <c r="N109" i="6"/>
  <c r="O109" i="6"/>
  <c r="P109" i="6"/>
  <c r="Q109" i="6"/>
  <c r="N110" i="6"/>
  <c r="O110" i="6"/>
  <c r="P110" i="6"/>
  <c r="Q110" i="6"/>
  <c r="P100" i="6"/>
  <c r="O100" i="6"/>
  <c r="N100" i="6"/>
  <c r="N91" i="6"/>
  <c r="O91" i="6"/>
  <c r="P91" i="6"/>
  <c r="Q91" i="6"/>
  <c r="N92" i="6"/>
  <c r="O92" i="6"/>
  <c r="P92" i="6"/>
  <c r="Q92" i="6"/>
  <c r="N93" i="6"/>
  <c r="O93" i="6"/>
  <c r="P93" i="6"/>
  <c r="Q93" i="6"/>
  <c r="N94" i="6"/>
  <c r="O94" i="6"/>
  <c r="P94" i="6"/>
  <c r="Q94" i="6"/>
  <c r="N95" i="6"/>
  <c r="O95" i="6"/>
  <c r="P95" i="6"/>
  <c r="Q95" i="6"/>
  <c r="N96" i="6"/>
  <c r="O96" i="6"/>
  <c r="P96" i="6"/>
  <c r="Q96" i="6"/>
  <c r="N97" i="6"/>
  <c r="O97" i="6"/>
  <c r="P97" i="6"/>
  <c r="Q97" i="6"/>
  <c r="P90" i="6"/>
  <c r="O90" i="6"/>
  <c r="N90" i="6"/>
  <c r="N82" i="6"/>
  <c r="O82" i="6"/>
  <c r="P82" i="6"/>
  <c r="Q82" i="6"/>
  <c r="N83" i="6"/>
  <c r="O83" i="6"/>
  <c r="P83" i="6"/>
  <c r="Q83" i="6"/>
  <c r="N84" i="6"/>
  <c r="O84" i="6"/>
  <c r="P84" i="6"/>
  <c r="Q84" i="6"/>
  <c r="N85" i="6"/>
  <c r="O85" i="6"/>
  <c r="P85" i="6"/>
  <c r="Q85" i="6"/>
  <c r="N86" i="6"/>
  <c r="O86" i="6"/>
  <c r="P86" i="6"/>
  <c r="Q86" i="6"/>
  <c r="N87" i="6"/>
  <c r="O87" i="6"/>
  <c r="P87" i="6"/>
  <c r="Q87" i="6"/>
  <c r="P81" i="6"/>
  <c r="O81" i="6"/>
  <c r="N81" i="6"/>
  <c r="S185" i="6" l="1"/>
  <c r="S186" i="6"/>
  <c r="S192" i="6"/>
  <c r="S193" i="6"/>
  <c r="S194" i="6"/>
  <c r="S195" i="6"/>
  <c r="S196" i="6"/>
  <c r="S197" i="6"/>
  <c r="S198" i="6"/>
  <c r="H50" i="6"/>
  <c r="G48" i="6"/>
  <c r="C42" i="6"/>
  <c r="D45" i="6"/>
  <c r="E44" i="6"/>
  <c r="J34" i="6"/>
  <c r="G34" i="6"/>
  <c r="F31" i="6" l="1"/>
  <c r="R28" i="6"/>
  <c r="Q28" i="6"/>
  <c r="P28" i="6"/>
  <c r="O28" i="6"/>
  <c r="N28" i="6"/>
  <c r="M28" i="6"/>
  <c r="L28" i="6"/>
  <c r="K28" i="6"/>
  <c r="J28" i="6"/>
  <c r="I28" i="6"/>
  <c r="H28" i="6"/>
  <c r="G28" i="6"/>
  <c r="F28" i="6"/>
  <c r="E28" i="6"/>
  <c r="D28" i="6"/>
  <c r="B183" i="7" l="1"/>
  <c r="Q90" i="6"/>
  <c r="Q100" i="6"/>
  <c r="Q113" i="6"/>
  <c r="Q132" i="6"/>
  <c r="Q147" i="6"/>
  <c r="Q152" i="6"/>
  <c r="Q159" i="6"/>
  <c r="Q163" i="6"/>
  <c r="Q183" i="6"/>
  <c r="Q202" i="6"/>
  <c r="Q208" i="6"/>
  <c r="Q218" i="6"/>
  <c r="Q228" i="6"/>
  <c r="Q239" i="6"/>
  <c r="Q250" i="6"/>
  <c r="Q258" i="6"/>
  <c r="Q265" i="6"/>
  <c r="Q274" i="6"/>
  <c r="Q282" i="6"/>
  <c r="Q292" i="6"/>
  <c r="Q299" i="6"/>
  <c r="Q81" i="6"/>
  <c r="S293" i="6" l="1"/>
  <c r="A47" i="6" l="1"/>
  <c r="B42" i="6"/>
  <c r="A42" i="6"/>
  <c r="C45" i="6"/>
  <c r="R35" i="6"/>
  <c r="N35" i="6"/>
  <c r="H51" i="2"/>
  <c r="B56" i="2"/>
  <c r="I300" i="6"/>
  <c r="I295" i="6"/>
  <c r="I296" i="6"/>
  <c r="I282" i="6"/>
  <c r="I283" i="6"/>
  <c r="I284" i="6"/>
  <c r="I286" i="6"/>
  <c r="I287" i="6"/>
  <c r="I288" i="6"/>
  <c r="I289" i="6"/>
  <c r="I275" i="6"/>
  <c r="I276" i="6"/>
  <c r="I277" i="6"/>
  <c r="I269" i="6"/>
  <c r="I270" i="6"/>
  <c r="I271" i="6"/>
  <c r="I261" i="6"/>
  <c r="I262" i="6"/>
  <c r="I253" i="6"/>
  <c r="I254" i="6"/>
  <c r="I255" i="6"/>
  <c r="I240" i="6"/>
  <c r="I241" i="6"/>
  <c r="I242" i="6"/>
  <c r="I243" i="6"/>
  <c r="I244" i="6"/>
  <c r="I245" i="6"/>
  <c r="I246" i="6"/>
  <c r="I239" i="6"/>
  <c r="I219" i="6"/>
  <c r="I220" i="6"/>
  <c r="I221" i="6"/>
  <c r="I222" i="6"/>
  <c r="I223" i="6"/>
  <c r="I224" i="6"/>
  <c r="I218" i="6"/>
  <c r="I153" i="6"/>
  <c r="I154" i="6"/>
  <c r="I155" i="6"/>
  <c r="I156" i="6"/>
  <c r="I133" i="6"/>
  <c r="I134" i="6"/>
  <c r="I135" i="6"/>
  <c r="I136" i="6"/>
  <c r="I137" i="6"/>
  <c r="I138" i="6"/>
  <c r="I139" i="6"/>
  <c r="I140" i="6"/>
  <c r="I141" i="6"/>
  <c r="I142" i="6"/>
  <c r="I143" i="6"/>
  <c r="I144" i="6"/>
  <c r="I108" i="6"/>
  <c r="I109" i="6"/>
  <c r="I110" i="6"/>
  <c r="I107" i="6"/>
  <c r="I96" i="6"/>
  <c r="I97" i="6"/>
  <c r="I86" i="6"/>
  <c r="I87" i="6"/>
  <c r="AA300" i="6"/>
  <c r="G56" i="2"/>
  <c r="B52" i="2"/>
  <c r="A83" i="2"/>
  <c r="A81" i="2"/>
  <c r="A78" i="2"/>
  <c r="A77" i="2"/>
  <c r="A71" i="2"/>
  <c r="A55" i="2"/>
  <c r="A60" i="2"/>
  <c r="A58" i="2"/>
  <c r="A56" i="2"/>
  <c r="A54" i="2"/>
  <c r="A50" i="2"/>
  <c r="A49" i="2"/>
  <c r="A44" i="2"/>
  <c r="A43" i="2"/>
  <c r="A10" i="2"/>
  <c r="A47" i="2"/>
  <c r="A12" i="6"/>
  <c r="A10" i="6"/>
  <c r="A126" i="4"/>
  <c r="A125" i="4"/>
  <c r="A95" i="2"/>
  <c r="A94" i="2"/>
  <c r="E13" i="2"/>
  <c r="A13" i="2"/>
  <c r="A12" i="2"/>
  <c r="A11" i="2"/>
  <c r="A5" i="5"/>
  <c r="B10" i="4"/>
  <c r="B8" i="4"/>
  <c r="B6" i="4"/>
  <c r="A98" i="2"/>
  <c r="A97" i="2"/>
  <c r="H15" i="2"/>
  <c r="A14" i="5" s="1"/>
  <c r="B4" i="3"/>
  <c r="B196" i="7"/>
  <c r="B195" i="7"/>
  <c r="B193" i="7"/>
  <c r="B192" i="7"/>
  <c r="B191" i="7"/>
  <c r="B189" i="7"/>
  <c r="B188" i="7"/>
  <c r="B187" i="7"/>
  <c r="B186" i="7"/>
  <c r="B185" i="7"/>
  <c r="B182" i="7"/>
  <c r="B181" i="7"/>
  <c r="B180" i="7"/>
  <c r="B178" i="7"/>
  <c r="B176" i="7"/>
  <c r="B175" i="7"/>
  <c r="B173" i="7"/>
  <c r="B172" i="7"/>
  <c r="B171" i="7"/>
  <c r="B170" i="7"/>
  <c r="B169" i="7"/>
  <c r="B168" i="7"/>
  <c r="B167" i="7"/>
  <c r="B166" i="7"/>
  <c r="B165" i="7"/>
  <c r="B162" i="7"/>
  <c r="B161" i="7"/>
  <c r="B160" i="7"/>
  <c r="B20" i="7"/>
  <c r="B19" i="7"/>
  <c r="AA303" i="6"/>
  <c r="S303" i="6"/>
  <c r="I303" i="6"/>
  <c r="AA302" i="6"/>
  <c r="S302" i="6"/>
  <c r="I302" i="6"/>
  <c r="AA301" i="6"/>
  <c r="S301" i="6"/>
  <c r="I301" i="6"/>
  <c r="S300" i="6"/>
  <c r="AA299" i="6"/>
  <c r="S299" i="6"/>
  <c r="I299" i="6"/>
  <c r="S296" i="6"/>
  <c r="S295" i="6"/>
  <c r="S292" i="6"/>
  <c r="I292" i="6"/>
  <c r="S289" i="6"/>
  <c r="S288" i="6"/>
  <c r="S287" i="6"/>
  <c r="S286" i="6"/>
  <c r="AA284" i="6"/>
  <c r="S284" i="6"/>
  <c r="AA283" i="6"/>
  <c r="S283" i="6"/>
  <c r="AA282" i="6"/>
  <c r="S282" i="6"/>
  <c r="S277" i="6"/>
  <c r="S276" i="6"/>
  <c r="S275" i="6"/>
  <c r="S274" i="6"/>
  <c r="I274" i="6"/>
  <c r="AA271" i="6"/>
  <c r="S271" i="6"/>
  <c r="AA270" i="6"/>
  <c r="S270" i="6"/>
  <c r="AA269" i="6"/>
  <c r="S269" i="6"/>
  <c r="AA268" i="6"/>
  <c r="S268" i="6"/>
  <c r="I268" i="6"/>
  <c r="AA267" i="6"/>
  <c r="S267" i="6"/>
  <c r="I267" i="6"/>
  <c r="AA266" i="6"/>
  <c r="S266" i="6"/>
  <c r="I266" i="6"/>
  <c r="AA265" i="6"/>
  <c r="S265" i="6"/>
  <c r="I265" i="6"/>
  <c r="AA262" i="6"/>
  <c r="S262" i="6"/>
  <c r="AA261" i="6"/>
  <c r="S261" i="6"/>
  <c r="AA260" i="6"/>
  <c r="S260" i="6"/>
  <c r="I260" i="6"/>
  <c r="AA259" i="6"/>
  <c r="S259" i="6"/>
  <c r="I259" i="6"/>
  <c r="AA258" i="6"/>
  <c r="S258" i="6"/>
  <c r="I258" i="6"/>
  <c r="AA255" i="6"/>
  <c r="S255" i="6"/>
  <c r="AA254" i="6"/>
  <c r="S254" i="6"/>
  <c r="AA253" i="6"/>
  <c r="S253" i="6"/>
  <c r="AA252" i="6"/>
  <c r="S252" i="6"/>
  <c r="I252" i="6"/>
  <c r="AA251" i="6"/>
  <c r="S251" i="6"/>
  <c r="I251" i="6"/>
  <c r="AA250" i="6"/>
  <c r="S250" i="6"/>
  <c r="I250" i="6"/>
  <c r="AA246" i="6"/>
  <c r="S246" i="6"/>
  <c r="AA245" i="6"/>
  <c r="S245" i="6"/>
  <c r="AA244" i="6"/>
  <c r="S244" i="6"/>
  <c r="AA243" i="6"/>
  <c r="S243" i="6"/>
  <c r="AA242" i="6"/>
  <c r="S242" i="6"/>
  <c r="AA241" i="6"/>
  <c r="S241" i="6"/>
  <c r="AA240" i="6"/>
  <c r="S240" i="6"/>
  <c r="AA239" i="6"/>
  <c r="S239" i="6"/>
  <c r="AA236" i="6"/>
  <c r="S236" i="6"/>
  <c r="I236" i="6"/>
  <c r="AA235" i="6"/>
  <c r="S235" i="6"/>
  <c r="I235" i="6"/>
  <c r="AA233" i="6"/>
  <c r="S233" i="6"/>
  <c r="I233" i="6"/>
  <c r="AA232" i="6"/>
  <c r="S232" i="6"/>
  <c r="I232" i="6"/>
  <c r="AA231" i="6"/>
  <c r="S231" i="6"/>
  <c r="I231" i="6"/>
  <c r="AA230" i="6"/>
  <c r="S230" i="6"/>
  <c r="I230" i="6"/>
  <c r="AA229" i="6"/>
  <c r="S229" i="6"/>
  <c r="I229" i="6"/>
  <c r="AA228" i="6"/>
  <c r="S228" i="6"/>
  <c r="I228" i="6"/>
  <c r="AA224" i="6"/>
  <c r="S224" i="6"/>
  <c r="AA223" i="6"/>
  <c r="S223" i="6"/>
  <c r="AA222" i="6"/>
  <c r="S222" i="6"/>
  <c r="AA221" i="6"/>
  <c r="S221" i="6"/>
  <c r="AA220" i="6"/>
  <c r="S220" i="6"/>
  <c r="AA219" i="6"/>
  <c r="S219" i="6"/>
  <c r="AA218" i="6"/>
  <c r="S218" i="6"/>
  <c r="AA215" i="6"/>
  <c r="S215" i="6"/>
  <c r="I215" i="6"/>
  <c r="AA214" i="6"/>
  <c r="S214" i="6"/>
  <c r="I214" i="6"/>
  <c r="AA212" i="6"/>
  <c r="S212" i="6"/>
  <c r="I212" i="6"/>
  <c r="AA211" i="6"/>
  <c r="S211" i="6"/>
  <c r="I211" i="6"/>
  <c r="AA210" i="6"/>
  <c r="S210" i="6"/>
  <c r="I210" i="6"/>
  <c r="AA209" i="6"/>
  <c r="S209" i="6"/>
  <c r="I209" i="6"/>
  <c r="AA208" i="6"/>
  <c r="S208" i="6"/>
  <c r="I208" i="6"/>
  <c r="S205" i="6"/>
  <c r="I205" i="6"/>
  <c r="AA204" i="6"/>
  <c r="S204" i="6"/>
  <c r="I204" i="6"/>
  <c r="AA203" i="6"/>
  <c r="Y203" i="6"/>
  <c r="S203" i="6"/>
  <c r="I203" i="6"/>
  <c r="AA202" i="6"/>
  <c r="Y202" i="6"/>
  <c r="S202" i="6"/>
  <c r="I202" i="6"/>
  <c r="S199" i="6"/>
  <c r="S191" i="6"/>
  <c r="S190" i="6"/>
  <c r="S189" i="6"/>
  <c r="S188" i="6"/>
  <c r="S187" i="6"/>
  <c r="S184" i="6"/>
  <c r="S183" i="6"/>
  <c r="AA180" i="6"/>
  <c r="S180" i="6"/>
  <c r="I180" i="6"/>
  <c r="AA179" i="6"/>
  <c r="S179" i="6"/>
  <c r="I179" i="6"/>
  <c r="AA178" i="6"/>
  <c r="S178" i="6"/>
  <c r="I178" i="6"/>
  <c r="AA177" i="6"/>
  <c r="S177" i="6"/>
  <c r="I177" i="6"/>
  <c r="AA176" i="6"/>
  <c r="S176" i="6"/>
  <c r="I176" i="6"/>
  <c r="AA175" i="6"/>
  <c r="S175" i="6"/>
  <c r="I175" i="6"/>
  <c r="AA174" i="6"/>
  <c r="S174" i="6"/>
  <c r="I174" i="6"/>
  <c r="AA173" i="6"/>
  <c r="S173" i="6"/>
  <c r="I173" i="6"/>
  <c r="AA172" i="6"/>
  <c r="S172" i="6"/>
  <c r="I172" i="6"/>
  <c r="AA171" i="6"/>
  <c r="S171" i="6"/>
  <c r="I171" i="6"/>
  <c r="AA170" i="6"/>
  <c r="S170" i="6"/>
  <c r="I170" i="6"/>
  <c r="AA169" i="6"/>
  <c r="S169" i="6"/>
  <c r="I169" i="6"/>
  <c r="AA168" i="6"/>
  <c r="S168" i="6"/>
  <c r="I168" i="6"/>
  <c r="AA167" i="6"/>
  <c r="S167" i="6"/>
  <c r="I167" i="6"/>
  <c r="AA166" i="6"/>
  <c r="S166" i="6"/>
  <c r="I166" i="6"/>
  <c r="AA165" i="6"/>
  <c r="S165" i="6"/>
  <c r="I165" i="6"/>
  <c r="AA164" i="6"/>
  <c r="S164" i="6"/>
  <c r="I164" i="6"/>
  <c r="AA163" i="6"/>
  <c r="S163" i="6"/>
  <c r="I163" i="6"/>
  <c r="S156" i="6"/>
  <c r="S155" i="6"/>
  <c r="S154" i="6"/>
  <c r="S153" i="6"/>
  <c r="S152" i="6"/>
  <c r="I152" i="6"/>
  <c r="AA149" i="6"/>
  <c r="S149" i="6"/>
  <c r="I149" i="6"/>
  <c r="AA148" i="6"/>
  <c r="S148" i="6"/>
  <c r="I148" i="6"/>
  <c r="AA147" i="6"/>
  <c r="S147" i="6"/>
  <c r="I147" i="6"/>
  <c r="AA144" i="6"/>
  <c r="S144" i="6"/>
  <c r="AA143" i="6"/>
  <c r="S143" i="6"/>
  <c r="S142" i="6"/>
  <c r="S141" i="6"/>
  <c r="AA140" i="6"/>
  <c r="S140" i="6"/>
  <c r="AA139" i="6"/>
  <c r="S139" i="6"/>
  <c r="AA138" i="6"/>
  <c r="S138" i="6"/>
  <c r="AA137" i="6"/>
  <c r="S137" i="6"/>
  <c r="AA136" i="6"/>
  <c r="S136" i="6"/>
  <c r="AA135" i="6"/>
  <c r="S135" i="6"/>
  <c r="S134" i="6"/>
  <c r="S133" i="6"/>
  <c r="S132" i="6"/>
  <c r="I132" i="6"/>
  <c r="I129" i="6"/>
  <c r="I128" i="6"/>
  <c r="I126" i="6"/>
  <c r="I125" i="6"/>
  <c r="I124" i="6"/>
  <c r="I123" i="6"/>
  <c r="I122" i="6"/>
  <c r="I121" i="6"/>
  <c r="I120" i="6"/>
  <c r="I119" i="6"/>
  <c r="I118" i="6"/>
  <c r="I117" i="6"/>
  <c r="I116" i="6"/>
  <c r="I115" i="6"/>
  <c r="I113" i="6"/>
  <c r="AA110" i="6"/>
  <c r="S110" i="6"/>
  <c r="AA109" i="6"/>
  <c r="S109" i="6"/>
  <c r="S108" i="6"/>
  <c r="S107" i="6"/>
  <c r="S106" i="6"/>
  <c r="I106" i="6"/>
  <c r="S105" i="6"/>
  <c r="I105" i="6"/>
  <c r="S104" i="6"/>
  <c r="I104" i="6"/>
  <c r="S103" i="6"/>
  <c r="I103" i="6"/>
  <c r="AA101" i="6"/>
  <c r="S101" i="6"/>
  <c r="I101" i="6"/>
  <c r="S100" i="6"/>
  <c r="I100" i="6"/>
  <c r="AA97" i="6"/>
  <c r="S97" i="6"/>
  <c r="S96" i="6"/>
  <c r="S95" i="6"/>
  <c r="I95" i="6"/>
  <c r="S94" i="6"/>
  <c r="I94" i="6"/>
  <c r="S93" i="6"/>
  <c r="I93" i="6"/>
  <c r="AA91" i="6"/>
  <c r="S91" i="6"/>
  <c r="I91" i="6"/>
  <c r="S90" i="6"/>
  <c r="I90" i="6"/>
  <c r="AA87" i="6"/>
  <c r="I85" i="6"/>
  <c r="I84" i="6"/>
  <c r="AA82" i="6"/>
  <c r="I82" i="6"/>
  <c r="I81" i="6"/>
  <c r="H54" i="6"/>
  <c r="G54" i="6"/>
  <c r="F54" i="6"/>
  <c r="E54" i="6"/>
  <c r="D54" i="6"/>
  <c r="C54" i="6"/>
  <c r="B54" i="6"/>
  <c r="A54" i="6"/>
  <c r="F53" i="6"/>
  <c r="E53" i="6"/>
  <c r="D53" i="6"/>
  <c r="C53" i="6"/>
  <c r="B53" i="6"/>
  <c r="A53" i="6"/>
  <c r="G52" i="6"/>
  <c r="F52" i="6"/>
  <c r="E52" i="6"/>
  <c r="D52" i="6"/>
  <c r="C52" i="6"/>
  <c r="B52" i="6"/>
  <c r="A52" i="6"/>
  <c r="J51" i="6"/>
  <c r="I51" i="6"/>
  <c r="G51" i="6"/>
  <c r="F51" i="6"/>
  <c r="E51" i="6"/>
  <c r="D51" i="6"/>
  <c r="C51" i="6"/>
  <c r="B51" i="6"/>
  <c r="A51" i="6"/>
  <c r="J50" i="6"/>
  <c r="I50" i="6"/>
  <c r="G50" i="6"/>
  <c r="F50" i="6"/>
  <c r="E50" i="6"/>
  <c r="D50" i="6"/>
  <c r="C50" i="6"/>
  <c r="B50" i="6"/>
  <c r="A50" i="6"/>
  <c r="I49" i="6"/>
  <c r="H49" i="6"/>
  <c r="F49" i="6"/>
  <c r="E49" i="6"/>
  <c r="D49" i="6"/>
  <c r="C49" i="6"/>
  <c r="B49" i="6"/>
  <c r="A49" i="6"/>
  <c r="I48" i="6"/>
  <c r="H48" i="6"/>
  <c r="F48" i="6"/>
  <c r="E48" i="6"/>
  <c r="D48" i="6"/>
  <c r="C48" i="6"/>
  <c r="B48" i="6"/>
  <c r="A48" i="6"/>
  <c r="F47" i="6"/>
  <c r="E47" i="6"/>
  <c r="D47" i="6"/>
  <c r="C47" i="6"/>
  <c r="B47" i="6"/>
  <c r="C46" i="6"/>
  <c r="B46" i="6"/>
  <c r="A46" i="6"/>
  <c r="B45" i="6"/>
  <c r="A45" i="6"/>
  <c r="I44" i="6"/>
  <c r="H44" i="6"/>
  <c r="G44" i="6"/>
  <c r="F44" i="6"/>
  <c r="D44" i="6"/>
  <c r="C44" i="6"/>
  <c r="B44" i="6"/>
  <c r="A44" i="6"/>
  <c r="E43" i="6"/>
  <c r="D43" i="6"/>
  <c r="C43" i="6"/>
  <c r="B43" i="6"/>
  <c r="A43" i="6"/>
  <c r="B41" i="6"/>
  <c r="A41" i="6"/>
  <c r="F40" i="6"/>
  <c r="E40" i="6"/>
  <c r="D40" i="6"/>
  <c r="C40" i="6"/>
  <c r="B40" i="6"/>
  <c r="A40" i="6"/>
  <c r="D39" i="6"/>
  <c r="C39" i="6"/>
  <c r="B39" i="6"/>
  <c r="A39" i="6"/>
  <c r="B38" i="6"/>
  <c r="A38" i="6"/>
  <c r="K37" i="6"/>
  <c r="J37" i="6"/>
  <c r="I37" i="6"/>
  <c r="H37" i="6"/>
  <c r="G37" i="6"/>
  <c r="F37" i="6"/>
  <c r="E37" i="6"/>
  <c r="D37" i="6"/>
  <c r="C37" i="6"/>
  <c r="B37" i="6"/>
  <c r="A37" i="6"/>
  <c r="B36" i="6"/>
  <c r="A36" i="6"/>
  <c r="Q35" i="6"/>
  <c r="P35" i="6"/>
  <c r="O35" i="6"/>
  <c r="M35" i="6"/>
  <c r="L35" i="6"/>
  <c r="K35" i="6"/>
  <c r="J35" i="6"/>
  <c r="I35" i="6"/>
  <c r="H35" i="6"/>
  <c r="G35" i="6"/>
  <c r="F35" i="6"/>
  <c r="E35" i="6"/>
  <c r="D35" i="6"/>
  <c r="C35" i="6"/>
  <c r="B35" i="6"/>
  <c r="A35" i="6"/>
  <c r="O34" i="6"/>
  <c r="N34" i="6"/>
  <c r="K34" i="6"/>
  <c r="H34" i="6"/>
  <c r="M34" i="6"/>
  <c r="I34" i="6"/>
  <c r="L34" i="6"/>
  <c r="F34" i="6"/>
  <c r="E34" i="6"/>
  <c r="C34" i="6"/>
  <c r="D34" i="6"/>
  <c r="B34" i="6"/>
  <c r="A34" i="6"/>
  <c r="C33" i="6"/>
  <c r="B33" i="6"/>
  <c r="A33" i="6"/>
  <c r="C32" i="6"/>
  <c r="B32" i="6"/>
  <c r="A32" i="6"/>
  <c r="J31" i="6"/>
  <c r="G31" i="6"/>
  <c r="I31" i="6"/>
  <c r="H31" i="6"/>
  <c r="E31" i="6"/>
  <c r="D31" i="6"/>
  <c r="C31" i="6"/>
  <c r="B31" i="6"/>
  <c r="A31" i="6"/>
  <c r="C30" i="6"/>
  <c r="B30" i="6"/>
  <c r="A30" i="6"/>
  <c r="S29" i="6"/>
  <c r="R29" i="6"/>
  <c r="Q29" i="6"/>
  <c r="P29" i="6"/>
  <c r="O29" i="6"/>
  <c r="N29" i="6"/>
  <c r="M29" i="6"/>
  <c r="L29" i="6"/>
  <c r="K29" i="6"/>
  <c r="J29" i="6"/>
  <c r="I29" i="6"/>
  <c r="H29" i="6"/>
  <c r="G29" i="6"/>
  <c r="F29" i="6"/>
  <c r="E29" i="6"/>
  <c r="D29" i="6"/>
  <c r="C29" i="6"/>
  <c r="B29" i="6"/>
  <c r="A29" i="6"/>
  <c r="C28" i="6"/>
  <c r="B28" i="6"/>
  <c r="A28" i="6"/>
  <c r="B27" i="6"/>
  <c r="A27" i="6"/>
  <c r="A14" i="6"/>
  <c r="A13" i="6"/>
  <c r="A11" i="6"/>
  <c r="C7" i="6"/>
  <c r="A24" i="6" s="1"/>
  <c r="C24" i="6" s="1"/>
  <c r="N134" i="4"/>
  <c r="V91" i="4"/>
  <c r="U91" i="4"/>
  <c r="T91" i="4"/>
  <c r="S91" i="4"/>
  <c r="R91" i="4"/>
  <c r="Q91" i="4"/>
  <c r="P91" i="4"/>
  <c r="O91" i="4"/>
  <c r="N91" i="4"/>
  <c r="N116" i="4" s="1"/>
  <c r="N128" i="4" s="1"/>
  <c r="N130" i="4" s="1"/>
  <c r="V72" i="4"/>
  <c r="U72" i="4"/>
  <c r="T72" i="4"/>
  <c r="S72" i="4"/>
  <c r="R72" i="4"/>
  <c r="Q72" i="4"/>
  <c r="P72" i="4"/>
  <c r="O72" i="4"/>
  <c r="N27" i="4"/>
  <c r="G94" i="2"/>
  <c r="H76" i="2"/>
  <c r="A33" i="5" s="1"/>
  <c r="H75" i="2"/>
  <c r="A32" i="5" s="1"/>
  <c r="H74" i="2"/>
  <c r="A31" i="5" s="1"/>
  <c r="H73" i="2"/>
  <c r="A30" i="5" s="1"/>
  <c r="H72" i="2"/>
  <c r="A29" i="5" s="1"/>
  <c r="H70" i="2"/>
  <c r="A26" i="5" s="1"/>
  <c r="H69" i="2"/>
  <c r="A25" i="5" s="1"/>
  <c r="H68" i="2"/>
  <c r="A24" i="5" s="1"/>
  <c r="H67" i="2"/>
  <c r="A23" i="5" s="1"/>
  <c r="H66" i="2"/>
  <c r="A22" i="5" s="1"/>
  <c r="H65" i="2"/>
  <c r="A21" i="5" s="1"/>
  <c r="H64" i="2"/>
  <c r="A20" i="5" s="1"/>
  <c r="H63" i="2"/>
  <c r="A19" i="5" s="1"/>
  <c r="H62" i="2"/>
  <c r="A18" i="5" s="1"/>
  <c r="H61" i="2"/>
  <c r="A17" i="5" s="1"/>
  <c r="H58" i="2"/>
  <c r="A36" i="5" s="1"/>
  <c r="G40" i="2"/>
  <c r="H39" i="2"/>
  <c r="A68" i="5" s="1"/>
  <c r="H38" i="2"/>
  <c r="A67" i="5" s="1"/>
  <c r="H37" i="2"/>
  <c r="A66" i="5" s="1"/>
  <c r="H36" i="2"/>
  <c r="A65" i="5" s="1"/>
  <c r="H35" i="2"/>
  <c r="A64" i="5" s="1"/>
  <c r="H34" i="2"/>
  <c r="A63" i="5" s="1"/>
  <c r="H33" i="2"/>
  <c r="A62" i="5" s="1"/>
  <c r="H32" i="2"/>
  <c r="A61" i="5" s="1"/>
  <c r="H31" i="2"/>
  <c r="A60" i="5" s="1"/>
  <c r="H30" i="2"/>
  <c r="A59" i="5" s="1"/>
  <c r="H13" i="2" l="1"/>
  <c r="G43" i="2"/>
  <c r="G44" i="2" s="1"/>
  <c r="H56" i="2"/>
  <c r="A11" i="5" s="1"/>
  <c r="G77" i="2"/>
  <c r="G78" i="2" s="1"/>
  <c r="A75" i="5" s="1"/>
  <c r="A16" i="6"/>
  <c r="C16" i="6" s="1"/>
  <c r="A17" i="6"/>
  <c r="C17" i="6" s="1"/>
  <c r="A18" i="6"/>
  <c r="C18" i="6" s="1"/>
  <c r="A19" i="6"/>
  <c r="C19" i="6" s="1"/>
  <c r="A20" i="6"/>
  <c r="C20" i="6" s="1"/>
  <c r="A21" i="6"/>
  <c r="C21" i="6" s="1"/>
  <c r="A22" i="6"/>
  <c r="C22" i="6" s="1"/>
  <c r="A23" i="6"/>
  <c r="C23" i="6" s="1"/>
  <c r="O135" i="4"/>
  <c r="N137" i="4"/>
  <c r="N141" i="4" s="1"/>
  <c r="N142" i="4" s="1"/>
  <c r="N144" i="4" s="1"/>
  <c r="H40" i="2"/>
  <c r="A71" i="5" s="1"/>
  <c r="A84" i="5" l="1"/>
  <c r="H95" i="2"/>
  <c r="C10" i="8"/>
  <c r="C8" i="8"/>
  <c r="H89" i="2"/>
  <c r="H86" i="2"/>
  <c r="A78" i="5"/>
  <c r="H85" i="2"/>
  <c r="H93" i="2"/>
  <c r="H90" i="2"/>
  <c r="A82" i="5"/>
  <c r="A48" i="5"/>
  <c r="A44" i="5"/>
  <c r="A40" i="5"/>
  <c r="H87" i="2"/>
  <c r="H91" i="2"/>
  <c r="H84" i="2"/>
  <c r="H88" i="2"/>
  <c r="H92" i="2"/>
  <c r="G95" i="2"/>
  <c r="G97" i="2" s="1"/>
  <c r="G98" i="2" s="1"/>
  <c r="H78" i="2"/>
  <c r="A80" i="5"/>
  <c r="A76" i="5"/>
  <c r="A46" i="5"/>
  <c r="A42" i="5"/>
  <c r="B31" i="4"/>
  <c r="A39" i="5"/>
  <c r="A77" i="5"/>
  <c r="A43" i="5"/>
  <c r="A41" i="5"/>
  <c r="A83" i="5"/>
  <c r="A47" i="5"/>
  <c r="A81" i="5"/>
  <c r="A45" i="5"/>
  <c r="A79" i="5"/>
  <c r="D25" i="6"/>
  <c r="O17" i="4" s="1"/>
  <c r="A66" i="4" l="1"/>
  <c r="A55" i="4"/>
  <c r="A52" i="4"/>
  <c r="E31" i="4"/>
  <c r="N149" i="4" s="1"/>
  <c r="H31" i="4"/>
  <c r="L31" i="4" s="1"/>
  <c r="A73" i="6"/>
  <c r="C73" i="6" s="1"/>
  <c r="A58" i="6"/>
  <c r="C58" i="6" s="1"/>
  <c r="A62" i="6"/>
  <c r="C62" i="6" s="1"/>
  <c r="A68" i="6"/>
  <c r="C68" i="6" s="1"/>
  <c r="A56" i="6"/>
  <c r="C56" i="6" s="1"/>
  <c r="A60" i="6"/>
  <c r="C60" i="6" s="1"/>
  <c r="A64" i="6"/>
  <c r="C64" i="6" s="1"/>
  <c r="A66" i="6"/>
  <c r="C66" i="6" s="1"/>
  <c r="A70" i="6"/>
  <c r="C70" i="6" s="1"/>
  <c r="A72" i="6"/>
  <c r="C72" i="6" s="1"/>
  <c r="A74" i="6"/>
  <c r="C74" i="6" s="1"/>
  <c r="A57" i="6"/>
  <c r="C57" i="6" s="1"/>
  <c r="A59" i="6"/>
  <c r="C59" i="6" s="1"/>
  <c r="A61" i="6"/>
  <c r="C61" i="6" s="1"/>
  <c r="A63" i="6"/>
  <c r="C63" i="6" s="1"/>
  <c r="A65" i="6"/>
  <c r="C65" i="6" s="1"/>
  <c r="A67" i="6"/>
  <c r="C67" i="6" s="1"/>
  <c r="A69" i="6"/>
  <c r="C69" i="6" s="1"/>
  <c r="A71" i="6"/>
  <c r="C71" i="6" s="1"/>
  <c r="C14" i="8"/>
  <c r="C16" i="8"/>
  <c r="A14" i="3"/>
  <c r="B7" i="4" s="1"/>
  <c r="F9" i="3"/>
  <c r="A13" i="3"/>
  <c r="O121" i="4"/>
  <c r="B34" i="4" l="1"/>
  <c r="E13" i="3"/>
  <c r="D34" i="7"/>
  <c r="D75" i="6"/>
  <c r="B42" i="7" s="1"/>
  <c r="D35" i="7"/>
  <c r="A49" i="4"/>
  <c r="A42" i="4" l="1"/>
  <c r="A41" i="4"/>
  <c r="E43" i="4"/>
  <c r="E55" i="4"/>
  <c r="A65" i="4"/>
  <c r="A43" i="4"/>
  <c r="A58" i="4"/>
  <c r="H63" i="4"/>
  <c r="H49" i="4"/>
  <c r="O40" i="4"/>
  <c r="P40" i="4" s="1"/>
  <c r="Q40" i="4" s="1"/>
  <c r="R40" i="4" s="1"/>
  <c r="S40" i="4" s="1"/>
  <c r="T40" i="4" s="1"/>
  <c r="H58" i="4"/>
  <c r="E54" i="4"/>
  <c r="A199" i="7"/>
  <c r="A26" i="3" s="1"/>
  <c r="O63" i="4"/>
  <c r="P63" i="4" s="1"/>
  <c r="Q63" i="4" s="1"/>
  <c r="R63" i="4" s="1"/>
  <c r="S63" i="4" s="1"/>
  <c r="T63" i="4" s="1"/>
  <c r="U63" i="4" s="1"/>
  <c r="V63" i="4" s="1"/>
  <c r="A54" i="4"/>
  <c r="O41" i="4"/>
  <c r="P41" i="4" s="1"/>
  <c r="Q41" i="4" s="1"/>
  <c r="R41" i="4" s="1"/>
  <c r="S41" i="4" s="1"/>
  <c r="T41" i="4" s="1"/>
  <c r="U41" i="4" s="1"/>
  <c r="V41" i="4" s="1"/>
  <c r="A10" i="4"/>
  <c r="H60" i="4"/>
  <c r="O58" i="4"/>
  <c r="O66" i="4" s="1"/>
  <c r="A6" i="5"/>
  <c r="H48" i="4"/>
  <c r="E50" i="4"/>
  <c r="B45" i="7"/>
  <c r="B11" i="3"/>
  <c r="A20" i="3" s="1"/>
  <c r="E39" i="4"/>
  <c r="H39" i="4" s="1"/>
  <c r="A52" i="5"/>
  <c r="A40" i="4"/>
  <c r="E48" i="4"/>
  <c r="A215" i="7"/>
  <c r="A63" i="4"/>
  <c r="H54" i="4"/>
  <c r="F10" i="3"/>
  <c r="B9" i="4"/>
  <c r="U40" i="4"/>
  <c r="P58" i="4" l="1"/>
  <c r="P66" i="4" s="1"/>
  <c r="O43" i="4"/>
  <c r="P43" i="4" s="1"/>
  <c r="Q43" i="4" s="1"/>
  <c r="R43" i="4" s="1"/>
  <c r="S43" i="4" s="1"/>
  <c r="T43" i="4" s="1"/>
  <c r="U43" i="4" s="1"/>
  <c r="V43" i="4" s="1"/>
  <c r="B12" i="4"/>
  <c r="B11" i="4"/>
  <c r="P65" i="4"/>
  <c r="O65" i="4"/>
  <c r="W36" i="4"/>
  <c r="A109" i="4"/>
  <c r="A112" i="4"/>
  <c r="A34" i="4"/>
  <c r="W90" i="4"/>
  <c r="W70" i="4"/>
  <c r="W79" i="4"/>
  <c r="AA36" i="4"/>
  <c r="AA134" i="4" s="1"/>
  <c r="A93" i="4"/>
  <c r="A97" i="4"/>
  <c r="A23" i="3"/>
  <c r="A18" i="3"/>
  <c r="A17" i="3"/>
  <c r="A19" i="3"/>
  <c r="AA70" i="4"/>
  <c r="B219" i="7"/>
  <c r="A45" i="3"/>
  <c r="A47" i="3" s="1"/>
  <c r="B220" i="7"/>
  <c r="A40" i="3"/>
  <c r="C34" i="7"/>
  <c r="B34" i="7"/>
  <c r="B35" i="7"/>
  <c r="A42" i="3"/>
  <c r="B218" i="7"/>
  <c r="A37" i="3" s="1"/>
  <c r="A29" i="3"/>
  <c r="F32" i="3" s="1"/>
  <c r="C35" i="7"/>
  <c r="V40" i="4"/>
  <c r="W42" i="4" l="1"/>
  <c r="X42" i="4" s="1"/>
  <c r="Y42" i="4" s="1"/>
  <c r="Z42" i="4" s="1"/>
  <c r="AA42" i="4" s="1"/>
  <c r="AB42" i="4" s="1"/>
  <c r="AC42" i="4" s="1"/>
  <c r="AD42" i="4" s="1"/>
  <c r="AE42" i="4" s="1"/>
  <c r="AF42" i="4" s="1"/>
  <c r="AG42" i="4" s="1"/>
  <c r="AH42" i="4" s="1"/>
  <c r="W41" i="4"/>
  <c r="X41" i="4" s="1"/>
  <c r="Y41" i="4" s="1"/>
  <c r="Z41" i="4" s="1"/>
  <c r="AA41" i="4" s="1"/>
  <c r="AB41" i="4" s="1"/>
  <c r="AC41" i="4" s="1"/>
  <c r="AD41" i="4" s="1"/>
  <c r="AE41" i="4" s="1"/>
  <c r="AF41" i="4" s="1"/>
  <c r="AG41" i="4" s="1"/>
  <c r="AH41" i="4" s="1"/>
  <c r="W43" i="4"/>
  <c r="X43" i="4" s="1"/>
  <c r="Y43" i="4" s="1"/>
  <c r="Z43" i="4" s="1"/>
  <c r="AA43" i="4" s="1"/>
  <c r="AB43" i="4" s="1"/>
  <c r="AC43" i="4" s="1"/>
  <c r="AD43" i="4" s="1"/>
  <c r="AE43" i="4" s="1"/>
  <c r="AF43" i="4" s="1"/>
  <c r="AG43" i="4" s="1"/>
  <c r="AH43" i="4" s="1"/>
  <c r="Q58" i="4"/>
  <c r="Q66" i="4" s="1"/>
  <c r="AH78" i="4"/>
  <c r="AG78" i="4"/>
  <c r="AF78" i="4"/>
  <c r="AE78" i="4"/>
  <c r="AD78" i="4"/>
  <c r="AC78" i="4"/>
  <c r="AB78" i="4"/>
  <c r="AA78" i="4"/>
  <c r="Z78" i="4"/>
  <c r="Y78" i="4"/>
  <c r="X78" i="4"/>
  <c r="W78" i="4"/>
  <c r="B118" i="4"/>
  <c r="Z90" i="4"/>
  <c r="AA118" i="4"/>
  <c r="W118" i="4"/>
  <c r="W80" i="4"/>
  <c r="W81" i="4"/>
  <c r="W82" i="4"/>
  <c r="W83" i="4"/>
  <c r="W84" i="4"/>
  <c r="W85" i="4"/>
  <c r="W86" i="4"/>
  <c r="W87" i="4"/>
  <c r="W88" i="4"/>
  <c r="W89" i="4"/>
  <c r="X79" i="4"/>
  <c r="Y79" i="4"/>
  <c r="Z79" i="4"/>
  <c r="AA79" i="4"/>
  <c r="AB79" i="4"/>
  <c r="AC79" i="4"/>
  <c r="AD79" i="4"/>
  <c r="AE79" i="4"/>
  <c r="AF79" i="4"/>
  <c r="AG79" i="4"/>
  <c r="AH79" i="4"/>
  <c r="X80" i="4"/>
  <c r="Y80" i="4"/>
  <c r="Z80" i="4"/>
  <c r="AA80" i="4"/>
  <c r="AB80" i="4"/>
  <c r="AC80" i="4"/>
  <c r="AD80" i="4"/>
  <c r="AE80" i="4"/>
  <c r="AF80" i="4"/>
  <c r="AG80" i="4"/>
  <c r="AH80" i="4"/>
  <c r="X81" i="4"/>
  <c r="Y81" i="4"/>
  <c r="Z81" i="4"/>
  <c r="AA81" i="4"/>
  <c r="AB81" i="4"/>
  <c r="AC81" i="4"/>
  <c r="AD81" i="4"/>
  <c r="AE81" i="4"/>
  <c r="AF81" i="4"/>
  <c r="AG81" i="4"/>
  <c r="AH81" i="4"/>
  <c r="X82" i="4"/>
  <c r="Y82" i="4"/>
  <c r="Z82" i="4"/>
  <c r="AA82" i="4"/>
  <c r="AB82" i="4"/>
  <c r="AC82" i="4"/>
  <c r="AD82" i="4"/>
  <c r="AE82" i="4"/>
  <c r="AF82" i="4"/>
  <c r="AG82" i="4"/>
  <c r="AH82" i="4"/>
  <c r="X83" i="4"/>
  <c r="Y83" i="4"/>
  <c r="Z83" i="4"/>
  <c r="AA83" i="4"/>
  <c r="AB83" i="4"/>
  <c r="AC83" i="4"/>
  <c r="AD83" i="4"/>
  <c r="AE83" i="4"/>
  <c r="AF83" i="4"/>
  <c r="AG83" i="4"/>
  <c r="AH83" i="4"/>
  <c r="X84" i="4"/>
  <c r="Y84" i="4"/>
  <c r="Z84" i="4"/>
  <c r="AA84" i="4"/>
  <c r="AB84" i="4"/>
  <c r="AC84" i="4"/>
  <c r="AD84" i="4"/>
  <c r="AE84" i="4"/>
  <c r="AF84" i="4"/>
  <c r="AG84" i="4"/>
  <c r="AH84" i="4"/>
  <c r="X85" i="4"/>
  <c r="Y85" i="4"/>
  <c r="Z85" i="4"/>
  <c r="AA85" i="4"/>
  <c r="AB85" i="4"/>
  <c r="AC85" i="4"/>
  <c r="AD85" i="4"/>
  <c r="AE85" i="4"/>
  <c r="AF85" i="4"/>
  <c r="AG85" i="4"/>
  <c r="AH85" i="4"/>
  <c r="X86" i="4"/>
  <c r="Y86" i="4"/>
  <c r="Z86" i="4"/>
  <c r="AA86" i="4"/>
  <c r="AB86" i="4"/>
  <c r="AC86" i="4"/>
  <c r="AD86" i="4"/>
  <c r="AE86" i="4"/>
  <c r="AF86" i="4"/>
  <c r="AG86" i="4"/>
  <c r="AH86" i="4"/>
  <c r="X87" i="4"/>
  <c r="Y87" i="4"/>
  <c r="Z87" i="4"/>
  <c r="AA87" i="4"/>
  <c r="AB87" i="4"/>
  <c r="AC87" i="4"/>
  <c r="AD87" i="4"/>
  <c r="AE87" i="4"/>
  <c r="AF87" i="4"/>
  <c r="AG87" i="4"/>
  <c r="AH87" i="4"/>
  <c r="X88" i="4"/>
  <c r="Y88" i="4"/>
  <c r="Z88" i="4"/>
  <c r="AA88" i="4"/>
  <c r="AB88" i="4"/>
  <c r="AC88" i="4"/>
  <c r="AD88" i="4"/>
  <c r="AE88" i="4"/>
  <c r="AF88" i="4"/>
  <c r="AG88" i="4"/>
  <c r="AH88" i="4"/>
  <c r="X89" i="4"/>
  <c r="Y89" i="4"/>
  <c r="Z89" i="4"/>
  <c r="AA89" i="4"/>
  <c r="AB89" i="4"/>
  <c r="AC89" i="4"/>
  <c r="AD89" i="4"/>
  <c r="AE89" i="4"/>
  <c r="AF89" i="4"/>
  <c r="AG89" i="4"/>
  <c r="AH89" i="4"/>
  <c r="X90" i="4"/>
  <c r="Y90" i="4"/>
  <c r="AA90" i="4"/>
  <c r="AB90" i="4"/>
  <c r="AC90" i="4"/>
  <c r="AD90" i="4"/>
  <c r="AE90" i="4"/>
  <c r="AF90" i="4"/>
  <c r="AG90" i="4"/>
  <c r="AH90" i="4"/>
  <c r="AH91" i="4"/>
  <c r="AG91" i="4"/>
  <c r="AF91" i="4"/>
  <c r="AE91" i="4"/>
  <c r="AD91" i="4"/>
  <c r="AC91" i="4"/>
  <c r="AB91" i="4"/>
  <c r="Z91" i="4"/>
  <c r="Y91" i="4"/>
  <c r="X91" i="4"/>
  <c r="W71" i="4"/>
  <c r="W72" i="4" s="1"/>
  <c r="X71" i="4"/>
  <c r="Y71" i="4"/>
  <c r="Z71" i="4"/>
  <c r="AA71" i="4"/>
  <c r="AB71" i="4"/>
  <c r="AC71" i="4"/>
  <c r="AD71" i="4"/>
  <c r="AE71" i="4"/>
  <c r="AF71" i="4"/>
  <c r="AG71" i="4"/>
  <c r="AH71" i="4"/>
  <c r="AH70" i="4"/>
  <c r="AH72" i="4" s="1"/>
  <c r="AG70" i="4"/>
  <c r="AG72" i="4" s="1"/>
  <c r="AF70" i="4"/>
  <c r="AF72" i="4" s="1"/>
  <c r="AE70" i="4"/>
  <c r="AE72" i="4" s="1"/>
  <c r="AD70" i="4"/>
  <c r="AD72" i="4" s="1"/>
  <c r="AC70" i="4"/>
  <c r="AC72" i="4" s="1"/>
  <c r="AB70" i="4"/>
  <c r="AB72" i="4" s="1"/>
  <c r="Z70" i="4"/>
  <c r="Z72" i="4" s="1"/>
  <c r="Y70" i="4"/>
  <c r="Y72" i="4" s="1"/>
  <c r="X70" i="4"/>
  <c r="X72" i="4" s="1"/>
  <c r="AH67" i="4"/>
  <c r="AG67" i="4"/>
  <c r="AF67" i="4"/>
  <c r="AE67" i="4"/>
  <c r="AD67" i="4"/>
  <c r="AH65" i="4"/>
  <c r="AG65" i="4"/>
  <c r="AF65" i="4"/>
  <c r="AE65" i="4"/>
  <c r="AD65" i="4"/>
  <c r="AH63" i="4"/>
  <c r="AG63" i="4"/>
  <c r="AF63" i="4"/>
  <c r="AE63" i="4"/>
  <c r="AD63" i="4"/>
  <c r="W63" i="4"/>
  <c r="X63" i="4" s="1"/>
  <c r="Y63" i="4" s="1"/>
  <c r="Z63" i="4" s="1"/>
  <c r="AA63" i="4" s="1"/>
  <c r="AB63" i="4" s="1"/>
  <c r="AC63" i="4" s="1"/>
  <c r="AH58" i="4"/>
  <c r="AH66" i="4" s="1"/>
  <c r="AG58" i="4"/>
  <c r="AG66" i="4" s="1"/>
  <c r="AF58" i="4"/>
  <c r="AF66" i="4" s="1"/>
  <c r="AE58" i="4"/>
  <c r="AE66" i="4" s="1"/>
  <c r="AD58" i="4"/>
  <c r="AD66" i="4" s="1"/>
  <c r="AH36" i="4"/>
  <c r="AH118" i="4" s="1"/>
  <c r="AG36" i="4"/>
  <c r="AG118" i="4" s="1"/>
  <c r="AF36" i="4"/>
  <c r="AF118" i="4" s="1"/>
  <c r="AE36" i="4"/>
  <c r="AE118" i="4" s="1"/>
  <c r="AC36" i="4"/>
  <c r="AC118" i="4" s="1"/>
  <c r="AB36" i="4"/>
  <c r="AB118" i="4" s="1"/>
  <c r="Z36" i="4"/>
  <c r="Z118" i="4" s="1"/>
  <c r="Y36" i="4"/>
  <c r="Y118" i="4" s="1"/>
  <c r="X36" i="4"/>
  <c r="X118" i="4" s="1"/>
  <c r="AD36" i="4"/>
  <c r="AD118" i="4" s="1"/>
  <c r="A3" i="4"/>
  <c r="U122" i="4"/>
  <c r="P122" i="4"/>
  <c r="T119" i="4"/>
  <c r="O119" i="4"/>
  <c r="O125" i="4" s="1"/>
  <c r="V119" i="4"/>
  <c r="V120" i="4"/>
  <c r="S122" i="4"/>
  <c r="AA91" i="4"/>
  <c r="AA72" i="4"/>
  <c r="AA119" i="4"/>
  <c r="P120" i="4"/>
  <c r="P126" i="4" s="1"/>
  <c r="B125" i="4"/>
  <c r="U120" i="4"/>
  <c r="U126" i="4" s="1"/>
  <c r="U119" i="4"/>
  <c r="V122" i="4"/>
  <c r="V126" i="4" s="1"/>
  <c r="S120" i="4"/>
  <c r="S126" i="4" s="1"/>
  <c r="AA120" i="4"/>
  <c r="S119" i="4"/>
  <c r="T120" i="4"/>
  <c r="T122" i="4"/>
  <c r="R119" i="4"/>
  <c r="Q120" i="4"/>
  <c r="Q122" i="4"/>
  <c r="Q119" i="4"/>
  <c r="R120" i="4"/>
  <c r="R122" i="4"/>
  <c r="P119" i="4"/>
  <c r="O120" i="4"/>
  <c r="O122" i="4"/>
  <c r="O123" i="4" s="1"/>
  <c r="P121" i="4" s="1"/>
  <c r="P125" i="4" s="1"/>
  <c r="B126" i="4"/>
  <c r="W122" i="4"/>
  <c r="W119" i="4"/>
  <c r="W120" i="4"/>
  <c r="AA122" i="4"/>
  <c r="AA126" i="4" s="1"/>
  <c r="W91" i="4"/>
  <c r="O112" i="4"/>
  <c r="O113" i="4"/>
  <c r="P113" i="4" s="1"/>
  <c r="Q113" i="4" s="1"/>
  <c r="R113" i="4" s="1"/>
  <c r="S113" i="4" s="1"/>
  <c r="T113" i="4" s="1"/>
  <c r="U113" i="4" s="1"/>
  <c r="V113" i="4" s="1"/>
  <c r="W113" i="4" s="1"/>
  <c r="X113" i="4" s="1"/>
  <c r="Y113" i="4" s="1"/>
  <c r="Z113" i="4" s="1"/>
  <c r="AA113" i="4" s="1"/>
  <c r="AB113" i="4" s="1"/>
  <c r="AC113" i="4" s="1"/>
  <c r="AD113" i="4" s="1"/>
  <c r="AE113" i="4" s="1"/>
  <c r="AF113" i="4" s="1"/>
  <c r="AG113" i="4" s="1"/>
  <c r="AH113" i="4" s="1"/>
  <c r="E17" i="3"/>
  <c r="D17" i="3"/>
  <c r="A35" i="3"/>
  <c r="A53" i="5" s="1"/>
  <c r="C221" i="7"/>
  <c r="B20" i="3"/>
  <c r="E19" i="3"/>
  <c r="A44" i="4"/>
  <c r="E18" i="3"/>
  <c r="O97" i="4"/>
  <c r="O103" i="4"/>
  <c r="P103" i="4" s="1"/>
  <c r="Q103" i="4" s="1"/>
  <c r="R103" i="4" s="1"/>
  <c r="S103" i="4" s="1"/>
  <c r="T103" i="4" s="1"/>
  <c r="U103" i="4" s="1"/>
  <c r="V103" i="4" s="1"/>
  <c r="W103" i="4" s="1"/>
  <c r="X103" i="4" s="1"/>
  <c r="Y103" i="4" s="1"/>
  <c r="Z103" i="4" s="1"/>
  <c r="AA103" i="4" s="1"/>
  <c r="AB103" i="4" s="1"/>
  <c r="AC103" i="4" s="1"/>
  <c r="AD103" i="4" s="1"/>
  <c r="AE103" i="4" s="1"/>
  <c r="AF103" i="4" s="1"/>
  <c r="AG103" i="4" s="1"/>
  <c r="AH103" i="4" s="1"/>
  <c r="O104" i="4"/>
  <c r="P104" i="4" s="1"/>
  <c r="Q104" i="4" s="1"/>
  <c r="R104" i="4" s="1"/>
  <c r="S104" i="4" s="1"/>
  <c r="T104" i="4" s="1"/>
  <c r="U104" i="4" s="1"/>
  <c r="V104" i="4" s="1"/>
  <c r="W104" i="4" s="1"/>
  <c r="X104" i="4" s="1"/>
  <c r="Y104" i="4" s="1"/>
  <c r="Z104" i="4" s="1"/>
  <c r="AA104" i="4" s="1"/>
  <c r="AB104" i="4" s="1"/>
  <c r="AC104" i="4" s="1"/>
  <c r="AD104" i="4" s="1"/>
  <c r="AE104" i="4" s="1"/>
  <c r="AF104" i="4" s="1"/>
  <c r="AG104" i="4" s="1"/>
  <c r="AH104" i="4" s="1"/>
  <c r="O98" i="4"/>
  <c r="P98" i="4" s="1"/>
  <c r="Q98" i="4" s="1"/>
  <c r="R98" i="4" s="1"/>
  <c r="S98" i="4" s="1"/>
  <c r="T98" i="4" s="1"/>
  <c r="U98" i="4" s="1"/>
  <c r="V98" i="4" s="1"/>
  <c r="W98" i="4" s="1"/>
  <c r="X98" i="4" s="1"/>
  <c r="Y98" i="4" s="1"/>
  <c r="Z98" i="4" s="1"/>
  <c r="AA98" i="4" s="1"/>
  <c r="AB98" i="4" s="1"/>
  <c r="AC98" i="4" s="1"/>
  <c r="AD98" i="4" s="1"/>
  <c r="AE98" i="4" s="1"/>
  <c r="AF98" i="4" s="1"/>
  <c r="AG98" i="4" s="1"/>
  <c r="AH98" i="4" s="1"/>
  <c r="O101" i="4"/>
  <c r="P101" i="4" s="1"/>
  <c r="Q101" i="4" s="1"/>
  <c r="R101" i="4" s="1"/>
  <c r="S101" i="4" s="1"/>
  <c r="T101" i="4" s="1"/>
  <c r="U101" i="4" s="1"/>
  <c r="V101" i="4" s="1"/>
  <c r="W101" i="4" s="1"/>
  <c r="X101" i="4" s="1"/>
  <c r="Y101" i="4" s="1"/>
  <c r="Z101" i="4" s="1"/>
  <c r="AA101" i="4" s="1"/>
  <c r="AB101" i="4" s="1"/>
  <c r="AC101" i="4" s="1"/>
  <c r="AD101" i="4" s="1"/>
  <c r="AE101" i="4" s="1"/>
  <c r="AF101" i="4" s="1"/>
  <c r="AG101" i="4" s="1"/>
  <c r="AH101" i="4" s="1"/>
  <c r="O106" i="4"/>
  <c r="P106" i="4" s="1"/>
  <c r="Q106" i="4" s="1"/>
  <c r="R106" i="4" s="1"/>
  <c r="S106" i="4" s="1"/>
  <c r="T106" i="4" s="1"/>
  <c r="U106" i="4" s="1"/>
  <c r="V106" i="4" s="1"/>
  <c r="W106" i="4" s="1"/>
  <c r="X106" i="4" s="1"/>
  <c r="Y106" i="4" s="1"/>
  <c r="Z106" i="4" s="1"/>
  <c r="AA106" i="4" s="1"/>
  <c r="AB106" i="4" s="1"/>
  <c r="AC106" i="4" s="1"/>
  <c r="AD106" i="4" s="1"/>
  <c r="AE106" i="4" s="1"/>
  <c r="AF106" i="4" s="1"/>
  <c r="AG106" i="4" s="1"/>
  <c r="AH106" i="4" s="1"/>
  <c r="O99" i="4"/>
  <c r="P99" i="4" s="1"/>
  <c r="Q99" i="4" s="1"/>
  <c r="R99" i="4" s="1"/>
  <c r="S99" i="4" s="1"/>
  <c r="T99" i="4" s="1"/>
  <c r="U99" i="4" s="1"/>
  <c r="V99" i="4" s="1"/>
  <c r="W99" i="4" s="1"/>
  <c r="X99" i="4" s="1"/>
  <c r="Y99" i="4" s="1"/>
  <c r="Z99" i="4" s="1"/>
  <c r="AA99" i="4" s="1"/>
  <c r="AB99" i="4" s="1"/>
  <c r="AC99" i="4" s="1"/>
  <c r="AD99" i="4" s="1"/>
  <c r="AE99" i="4" s="1"/>
  <c r="AF99" i="4" s="1"/>
  <c r="AG99" i="4" s="1"/>
  <c r="AH99" i="4" s="1"/>
  <c r="O100" i="4"/>
  <c r="P100" i="4" s="1"/>
  <c r="Q100" i="4" s="1"/>
  <c r="R100" i="4" s="1"/>
  <c r="S100" i="4" s="1"/>
  <c r="T100" i="4" s="1"/>
  <c r="U100" i="4" s="1"/>
  <c r="V100" i="4" s="1"/>
  <c r="W100" i="4" s="1"/>
  <c r="X100" i="4" s="1"/>
  <c r="Y100" i="4" s="1"/>
  <c r="Z100" i="4" s="1"/>
  <c r="AA100" i="4" s="1"/>
  <c r="AB100" i="4" s="1"/>
  <c r="AC100" i="4" s="1"/>
  <c r="AD100" i="4" s="1"/>
  <c r="AE100" i="4" s="1"/>
  <c r="AF100" i="4" s="1"/>
  <c r="AG100" i="4" s="1"/>
  <c r="AH100" i="4" s="1"/>
  <c r="O105" i="4"/>
  <c r="P105" i="4" s="1"/>
  <c r="Q105" i="4" s="1"/>
  <c r="R105" i="4" s="1"/>
  <c r="S105" i="4" s="1"/>
  <c r="T105" i="4" s="1"/>
  <c r="U105" i="4" s="1"/>
  <c r="V105" i="4" s="1"/>
  <c r="W105" i="4" s="1"/>
  <c r="X105" i="4" s="1"/>
  <c r="Y105" i="4" s="1"/>
  <c r="Z105" i="4" s="1"/>
  <c r="AA105" i="4" s="1"/>
  <c r="AB105" i="4" s="1"/>
  <c r="AC105" i="4" s="1"/>
  <c r="AD105" i="4" s="1"/>
  <c r="AE105" i="4" s="1"/>
  <c r="AF105" i="4" s="1"/>
  <c r="AG105" i="4" s="1"/>
  <c r="AH105" i="4" s="1"/>
  <c r="O102" i="4"/>
  <c r="P102" i="4" s="1"/>
  <c r="Q102" i="4" s="1"/>
  <c r="R102" i="4" s="1"/>
  <c r="S102" i="4" s="1"/>
  <c r="T102" i="4" s="1"/>
  <c r="U102" i="4" s="1"/>
  <c r="V102" i="4" s="1"/>
  <c r="W102" i="4" s="1"/>
  <c r="X102" i="4" s="1"/>
  <c r="Y102" i="4" s="1"/>
  <c r="Z102" i="4" s="1"/>
  <c r="AA102" i="4" s="1"/>
  <c r="AB102" i="4" s="1"/>
  <c r="AC102" i="4" s="1"/>
  <c r="AD102" i="4" s="1"/>
  <c r="AE102" i="4" s="1"/>
  <c r="AF102" i="4" s="1"/>
  <c r="AG102" i="4" s="1"/>
  <c r="AH102" i="4" s="1"/>
  <c r="R126" i="4"/>
  <c r="W126" i="4"/>
  <c r="W40" i="4"/>
  <c r="X40" i="4" s="1"/>
  <c r="Q65" i="4" l="1"/>
  <c r="R58" i="4"/>
  <c r="R66" i="4" s="1"/>
  <c r="V118" i="4"/>
  <c r="U118" i="4"/>
  <c r="T118" i="4"/>
  <c r="S118" i="4"/>
  <c r="R118" i="4"/>
  <c r="Q118" i="4"/>
  <c r="P118" i="4"/>
  <c r="O118" i="4"/>
  <c r="AD134" i="4"/>
  <c r="AD122" i="4"/>
  <c r="AD120" i="4"/>
  <c r="AD126" i="4" s="1"/>
  <c r="AD119" i="4"/>
  <c r="AE134" i="4"/>
  <c r="AE122" i="4"/>
  <c r="AE120" i="4"/>
  <c r="AE126" i="4" s="1"/>
  <c r="AE119" i="4"/>
  <c r="AF134" i="4"/>
  <c r="AF122" i="4"/>
  <c r="AF120" i="4"/>
  <c r="AF126" i="4" s="1"/>
  <c r="AF119" i="4"/>
  <c r="AG134" i="4"/>
  <c r="AG122" i="4"/>
  <c r="AG120" i="4"/>
  <c r="AG126" i="4" s="1"/>
  <c r="AG119" i="4"/>
  <c r="AH134" i="4"/>
  <c r="AH122" i="4"/>
  <c r="AH120" i="4"/>
  <c r="AH126" i="4" s="1"/>
  <c r="AH119" i="4"/>
  <c r="X134" i="4"/>
  <c r="X122" i="4"/>
  <c r="X120" i="4"/>
  <c r="X126" i="4" s="1"/>
  <c r="X119" i="4"/>
  <c r="Y134" i="4"/>
  <c r="Y122" i="4"/>
  <c r="Y120" i="4"/>
  <c r="Y126" i="4" s="1"/>
  <c r="Y119" i="4"/>
  <c r="Z134" i="4"/>
  <c r="Z122" i="4"/>
  <c r="Z120" i="4"/>
  <c r="Z126" i="4" s="1"/>
  <c r="Z119" i="4"/>
  <c r="AB134" i="4"/>
  <c r="AB122" i="4"/>
  <c r="AB120" i="4"/>
  <c r="AB126" i="4" s="1"/>
  <c r="AB119" i="4"/>
  <c r="AC134" i="4"/>
  <c r="AC122" i="4"/>
  <c r="AC120" i="4"/>
  <c r="AC126" i="4" s="1"/>
  <c r="AC119" i="4"/>
  <c r="Y40" i="4"/>
  <c r="Z40" i="4" s="1"/>
  <c r="P123" i="4"/>
  <c r="Q121" i="4" s="1"/>
  <c r="Q125" i="4" s="1"/>
  <c r="T126" i="4"/>
  <c r="O126" i="4"/>
  <c r="Q126" i="4"/>
  <c r="B23" i="3"/>
  <c r="E52" i="4" s="1"/>
  <c r="E44" i="4"/>
  <c r="O44" i="4" s="1"/>
  <c r="P112" i="4"/>
  <c r="O114" i="4"/>
  <c r="O107" i="4"/>
  <c r="P97" i="4"/>
  <c r="E49" i="4"/>
  <c r="O49" i="4" s="1"/>
  <c r="P49" i="4" s="1"/>
  <c r="Q49" i="4" s="1"/>
  <c r="R49" i="4" s="1"/>
  <c r="S49" i="4" s="1"/>
  <c r="T49" i="4" s="1"/>
  <c r="U49" i="4" s="1"/>
  <c r="V49" i="4" s="1"/>
  <c r="W49" i="4" s="1"/>
  <c r="B21" i="3"/>
  <c r="E21" i="3" s="1"/>
  <c r="AA118" i="6"/>
  <c r="AA122" i="6"/>
  <c r="AA116" i="6"/>
  <c r="AA106" i="6"/>
  <c r="AA100" i="6"/>
  <c r="AA86" i="6"/>
  <c r="AA117" i="6"/>
  <c r="AA121" i="6"/>
  <c r="AA125" i="6"/>
  <c r="AA105" i="6"/>
  <c r="AA103" i="6"/>
  <c r="AA93" i="6"/>
  <c r="AA81" i="6"/>
  <c r="AA120" i="6"/>
  <c r="AA124" i="6"/>
  <c r="AA108" i="6"/>
  <c r="AA94" i="6"/>
  <c r="AA84" i="6"/>
  <c r="AA119" i="6"/>
  <c r="AA123" i="6"/>
  <c r="AA104" i="6"/>
  <c r="AA107" i="6"/>
  <c r="AA96" i="6"/>
  <c r="AA85" i="6"/>
  <c r="A31" i="3"/>
  <c r="F30" i="3"/>
  <c r="R65" i="4" l="1"/>
  <c r="S58" i="4"/>
  <c r="S66" i="4" s="1"/>
  <c r="X49" i="4"/>
  <c r="Y49" i="4" s="1"/>
  <c r="Q123" i="4"/>
  <c r="R123" i="4" s="1"/>
  <c r="F26" i="3"/>
  <c r="O45" i="4"/>
  <c r="P44" i="4"/>
  <c r="O116" i="4"/>
  <c r="O128" i="4" s="1"/>
  <c r="P114" i="4"/>
  <c r="Q112" i="4"/>
  <c r="Q97" i="4"/>
  <c r="P107" i="4"/>
  <c r="R121" i="4"/>
  <c r="R125" i="4" s="1"/>
  <c r="T58" i="4" l="1"/>
  <c r="T66" i="4" s="1"/>
  <c r="S65" i="4"/>
  <c r="Z49" i="4"/>
  <c r="AA49" i="4" s="1"/>
  <c r="AB49" i="4" s="1"/>
  <c r="AC49" i="4" s="1"/>
  <c r="AD49" i="4" s="1"/>
  <c r="AE49" i="4" s="1"/>
  <c r="AF49" i="4" s="1"/>
  <c r="AG49" i="4" s="1"/>
  <c r="AH49" i="4" s="1"/>
  <c r="Q44" i="4"/>
  <c r="P45" i="4"/>
  <c r="P116" i="4"/>
  <c r="P128" i="4" s="1"/>
  <c r="R112" i="4"/>
  <c r="Q114" i="4"/>
  <c r="Q107" i="4"/>
  <c r="R97" i="4"/>
  <c r="S123" i="4"/>
  <c r="S121" i="4"/>
  <c r="S125" i="4" s="1"/>
  <c r="T65" i="4" l="1"/>
  <c r="U58" i="4"/>
  <c r="U66" i="4" s="1"/>
  <c r="Q116" i="4"/>
  <c r="Q128" i="4" s="1"/>
  <c r="O67" i="4"/>
  <c r="S112" i="4"/>
  <c r="R114" i="4"/>
  <c r="Q45" i="4"/>
  <c r="R44" i="4"/>
  <c r="R107" i="4"/>
  <c r="S97" i="4"/>
  <c r="T123" i="4"/>
  <c r="T121" i="4"/>
  <c r="T125" i="4" s="1"/>
  <c r="AA40" i="4"/>
  <c r="AB40" i="4" s="1"/>
  <c r="P67" i="4" l="1"/>
  <c r="U65" i="4"/>
  <c r="V58" i="4"/>
  <c r="V66" i="4" s="1"/>
  <c r="O74" i="4"/>
  <c r="O130" i="4" s="1"/>
  <c r="O133" i="4" s="1"/>
  <c r="O134" i="4" s="1"/>
  <c r="P74" i="4"/>
  <c r="P130" i="4" s="1"/>
  <c r="AC40" i="4"/>
  <c r="AD40" i="4" s="1"/>
  <c r="AE40" i="4" s="1"/>
  <c r="AF40" i="4" s="1"/>
  <c r="AG40" i="4" s="1"/>
  <c r="AH40" i="4" s="1"/>
  <c r="R116" i="4"/>
  <c r="R128" i="4" s="1"/>
  <c r="P133" i="4"/>
  <c r="P134" i="4" s="1"/>
  <c r="O137" i="4"/>
  <c r="P135" i="4" s="1"/>
  <c r="S44" i="4"/>
  <c r="R45" i="4"/>
  <c r="S114" i="4"/>
  <c r="T112" i="4"/>
  <c r="S107" i="4"/>
  <c r="S116" i="4" s="1"/>
  <c r="S128" i="4" s="1"/>
  <c r="T97" i="4"/>
  <c r="U123" i="4"/>
  <c r="U121" i="4"/>
  <c r="U125" i="4" s="1"/>
  <c r="Q67" i="4" l="1"/>
  <c r="W58" i="4"/>
  <c r="W66" i="4" s="1"/>
  <c r="V65" i="4"/>
  <c r="P137" i="4"/>
  <c r="P141" i="4" s="1"/>
  <c r="P142" i="4" s="1"/>
  <c r="O141" i="4"/>
  <c r="O142" i="4" s="1"/>
  <c r="O149" i="4" s="1"/>
  <c r="T114" i="4"/>
  <c r="U112" i="4"/>
  <c r="S45" i="4"/>
  <c r="T44" i="4"/>
  <c r="T107" i="4"/>
  <c r="T116" i="4" s="1"/>
  <c r="T128" i="4" s="1"/>
  <c r="U97" i="4"/>
  <c r="V121" i="4"/>
  <c r="V125" i="4" s="1"/>
  <c r="V123" i="4"/>
  <c r="Q74" i="4" l="1"/>
  <c r="Q130" i="4" s="1"/>
  <c r="Q133" i="4" s="1"/>
  <c r="Q134" i="4" s="1"/>
  <c r="R67" i="4"/>
  <c r="W65" i="4"/>
  <c r="X58" i="4"/>
  <c r="X66" i="4" s="1"/>
  <c r="D14" i="8"/>
  <c r="Q135" i="4"/>
  <c r="O144" i="4"/>
  <c r="B50" i="7" s="1"/>
  <c r="Q137" i="4"/>
  <c r="R135" i="4" s="1"/>
  <c r="T45" i="4"/>
  <c r="U44" i="4"/>
  <c r="V112" i="4"/>
  <c r="U114" i="4"/>
  <c r="V97" i="4"/>
  <c r="U107" i="4"/>
  <c r="P149" i="4"/>
  <c r="P144" i="4"/>
  <c r="W123" i="4"/>
  <c r="W121" i="4"/>
  <c r="W125" i="4" s="1"/>
  <c r="R74" i="4" l="1"/>
  <c r="R130" i="4" s="1"/>
  <c r="R133" i="4" s="1"/>
  <c r="S67" i="4"/>
  <c r="S74" i="4" s="1"/>
  <c r="S130" i="4" s="1"/>
  <c r="T67" i="4"/>
  <c r="U67" i="4"/>
  <c r="V67" i="4"/>
  <c r="W67" i="4"/>
  <c r="X65" i="4"/>
  <c r="X67" i="4"/>
  <c r="Y58" i="4"/>
  <c r="Y66" i="4" s="1"/>
  <c r="T74" i="4"/>
  <c r="T130" i="4" s="1"/>
  <c r="B51" i="7"/>
  <c r="E8" i="8"/>
  <c r="P154" i="4"/>
  <c r="O154" i="4"/>
  <c r="E14" i="8"/>
  <c r="X123" i="4"/>
  <c r="Y123" i="4" s="1"/>
  <c r="Z123" i="4" s="1"/>
  <c r="X121" i="4"/>
  <c r="X125" i="4" s="1"/>
  <c r="D8" i="8"/>
  <c r="U116" i="4"/>
  <c r="U128" i="4" s="1"/>
  <c r="Q141" i="4"/>
  <c r="Q142" i="4" s="1"/>
  <c r="Q144" i="4" s="1"/>
  <c r="B52" i="7" s="1"/>
  <c r="U45" i="4"/>
  <c r="V44" i="4"/>
  <c r="W112" i="4"/>
  <c r="X112" i="4" s="1"/>
  <c r="V114" i="4"/>
  <c r="V107" i="4"/>
  <c r="W97" i="4"/>
  <c r="X97" i="4" s="1"/>
  <c r="R137" i="4"/>
  <c r="S135" i="4" s="1"/>
  <c r="Y121" i="4"/>
  <c r="Y125" i="4" s="1"/>
  <c r="R134" i="4"/>
  <c r="Y65" i="4" l="1"/>
  <c r="Y67" i="4"/>
  <c r="Z58" i="4"/>
  <c r="Z66" i="4" s="1"/>
  <c r="U74" i="4"/>
  <c r="U130" i="4" s="1"/>
  <c r="X114" i="4"/>
  <c r="Y112" i="4"/>
  <c r="Q154" i="4"/>
  <c r="F8" i="8"/>
  <c r="X107" i="4"/>
  <c r="X116" i="4" s="1"/>
  <c r="X128" i="4" s="1"/>
  <c r="Y97" i="4"/>
  <c r="Q149" i="4"/>
  <c r="V116" i="4"/>
  <c r="V128" i="4" s="1"/>
  <c r="W114" i="4"/>
  <c r="W44" i="4"/>
  <c r="X44" i="4" s="1"/>
  <c r="V45" i="4"/>
  <c r="W107" i="4"/>
  <c r="R141" i="4"/>
  <c r="R142" i="4" s="1"/>
  <c r="R149" i="4" s="1"/>
  <c r="G14" i="8" s="1"/>
  <c r="S133" i="4"/>
  <c r="S137" i="4" s="1"/>
  <c r="Z121" i="4"/>
  <c r="Z125" i="4" s="1"/>
  <c r="Z65" i="4" l="1"/>
  <c r="Z67" i="4"/>
  <c r="AA58" i="4"/>
  <c r="AA66" i="4" s="1"/>
  <c r="V74" i="4"/>
  <c r="V130" i="4" s="1"/>
  <c r="Y114" i="4"/>
  <c r="Z112" i="4"/>
  <c r="F14" i="8"/>
  <c r="Y107" i="4"/>
  <c r="Y116" i="4" s="1"/>
  <c r="Y128" i="4" s="1"/>
  <c r="Z97" i="4"/>
  <c r="Z107" i="4" s="1"/>
  <c r="Y44" i="4"/>
  <c r="X45" i="4"/>
  <c r="W116" i="4"/>
  <c r="W128" i="4" s="1"/>
  <c r="W45" i="4"/>
  <c r="W74" i="4" s="1"/>
  <c r="R144" i="4"/>
  <c r="B53" i="7" s="1"/>
  <c r="S141" i="4"/>
  <c r="S142" i="4" s="1"/>
  <c r="T135" i="4"/>
  <c r="S134" i="4"/>
  <c r="AA65" i="4" l="1"/>
  <c r="AA67" i="4"/>
  <c r="AB58" i="4"/>
  <c r="AB66" i="4" s="1"/>
  <c r="X74" i="4"/>
  <c r="X130" i="4" s="1"/>
  <c r="Z114" i="4"/>
  <c r="Z116" i="4" s="1"/>
  <c r="Z128" i="4" s="1"/>
  <c r="AA112" i="4"/>
  <c r="R154" i="4"/>
  <c r="G8" i="8"/>
  <c r="Y45" i="4"/>
  <c r="Z44" i="4"/>
  <c r="Z45" i="4" s="1"/>
  <c r="Z74" i="4" s="1"/>
  <c r="W130" i="4"/>
  <c r="Z130" i="4"/>
  <c r="Z133" i="4" s="1"/>
  <c r="T133" i="4"/>
  <c r="T137" i="4" s="1"/>
  <c r="AA123" i="4"/>
  <c r="AA121" i="4"/>
  <c r="AA125" i="4" s="1"/>
  <c r="S144" i="4"/>
  <c r="B54" i="7" s="1"/>
  <c r="S149" i="4"/>
  <c r="AB65" i="4" l="1"/>
  <c r="AB67" i="4"/>
  <c r="AC58" i="4"/>
  <c r="AC66" i="4" s="1"/>
  <c r="Y74" i="4"/>
  <c r="Y130" i="4" s="1"/>
  <c r="Y133" i="4" s="1"/>
  <c r="AA114" i="4"/>
  <c r="AB112" i="4"/>
  <c r="S154" i="4"/>
  <c r="H14" i="8"/>
  <c r="H8" i="8"/>
  <c r="AB121" i="4"/>
  <c r="AB125" i="4" s="1"/>
  <c r="AB123" i="4"/>
  <c r="AC123" i="4" s="1"/>
  <c r="AD123" i="4" s="1"/>
  <c r="AE123" i="4" s="1"/>
  <c r="AF123" i="4" s="1"/>
  <c r="AG123" i="4" s="1"/>
  <c r="AH123" i="4" s="1"/>
  <c r="AA97" i="4"/>
  <c r="T134" i="4"/>
  <c r="U133" i="4" s="1"/>
  <c r="U134" i="4" s="1"/>
  <c r="AC121" i="4"/>
  <c r="AC125" i="4" s="1"/>
  <c r="U135" i="4"/>
  <c r="T141" i="4"/>
  <c r="T142" i="4" s="1"/>
  <c r="AC65" i="4" l="1"/>
  <c r="AC67" i="4"/>
  <c r="AB114" i="4"/>
  <c r="AC112" i="4"/>
  <c r="AC114" i="4" s="1"/>
  <c r="AA107" i="4"/>
  <c r="AB97" i="4"/>
  <c r="AA44" i="4"/>
  <c r="AB44" i="4" s="1"/>
  <c r="AD112" i="4"/>
  <c r="V133" i="4"/>
  <c r="V134" i="4" s="1"/>
  <c r="T144" i="4"/>
  <c r="B55" i="7" s="1"/>
  <c r="T149" i="4"/>
  <c r="U137" i="4"/>
  <c r="AE112" i="4" l="1"/>
  <c r="AD114" i="4"/>
  <c r="T154" i="4"/>
  <c r="I14" i="8"/>
  <c r="I8" i="8"/>
  <c r="AD121" i="4"/>
  <c r="AD125" i="4" s="1"/>
  <c r="AB107" i="4"/>
  <c r="AB116" i="4" s="1"/>
  <c r="AB128" i="4" s="1"/>
  <c r="AC97" i="4"/>
  <c r="AC44" i="4"/>
  <c r="AB45" i="4"/>
  <c r="AA116" i="4"/>
  <c r="AA128" i="4" s="1"/>
  <c r="AA45" i="4"/>
  <c r="AA74" i="4" s="1"/>
  <c r="W133" i="4"/>
  <c r="U141" i="4"/>
  <c r="U142" i="4" s="1"/>
  <c r="V135" i="4"/>
  <c r="V137" i="4" s="1"/>
  <c r="AB74" i="4" l="1"/>
  <c r="AB130" i="4" s="1"/>
  <c r="AB133" i="4" s="1"/>
  <c r="AE114" i="4"/>
  <c r="AF112" i="4"/>
  <c r="AE121" i="4"/>
  <c r="AE125" i="4" s="1"/>
  <c r="AC107" i="4"/>
  <c r="AC116" i="4" s="1"/>
  <c r="AC128" i="4" s="1"/>
  <c r="AD97" i="4"/>
  <c r="AC45" i="4"/>
  <c r="AD44" i="4"/>
  <c r="AA130" i="4"/>
  <c r="AA133" i="4" s="1"/>
  <c r="U144" i="4"/>
  <c r="B56" i="7" s="1"/>
  <c r="U149" i="4"/>
  <c r="V141" i="4"/>
  <c r="V142" i="4" s="1"/>
  <c r="W135" i="4"/>
  <c r="W137" i="4" s="1"/>
  <c r="X135" i="4" s="1"/>
  <c r="W134" i="4"/>
  <c r="AC74" i="4" l="1"/>
  <c r="AC130" i="4" s="1"/>
  <c r="AC133" i="4" s="1"/>
  <c r="AF114" i="4"/>
  <c r="AG112" i="4"/>
  <c r="U154" i="4"/>
  <c r="J14" i="8"/>
  <c r="J8" i="8"/>
  <c r="X133" i="4"/>
  <c r="X137" i="4" s="1"/>
  <c r="AF121" i="4"/>
  <c r="AF125" i="4" s="1"/>
  <c r="Y135" i="4"/>
  <c r="X141" i="4"/>
  <c r="X142" i="4" s="1"/>
  <c r="AD107" i="4"/>
  <c r="AD116" i="4" s="1"/>
  <c r="AD128" i="4" s="1"/>
  <c r="AE97" i="4"/>
  <c r="AE44" i="4"/>
  <c r="AD45" i="4"/>
  <c r="W141" i="4"/>
  <c r="W142" i="4" s="1"/>
  <c r="V149" i="4"/>
  <c r="V144" i="4"/>
  <c r="B57" i="7" s="1"/>
  <c r="AD74" i="4" l="1"/>
  <c r="AD130" i="4" s="1"/>
  <c r="AD133" i="4" s="1"/>
  <c r="AG114" i="4"/>
  <c r="AH112" i="4"/>
  <c r="AH114" i="4" s="1"/>
  <c r="V154" i="4"/>
  <c r="K8" i="8"/>
  <c r="K14" i="8"/>
  <c r="AG121" i="4"/>
  <c r="AG125" i="4" s="1"/>
  <c r="AE107" i="4"/>
  <c r="AE116" i="4" s="1"/>
  <c r="AE128" i="4" s="1"/>
  <c r="AF97" i="4"/>
  <c r="AF44" i="4"/>
  <c r="AE45" i="4"/>
  <c r="W149" i="4"/>
  <c r="W144" i="4"/>
  <c r="B58" i="7" s="1"/>
  <c r="AE74" i="4" l="1"/>
  <c r="AE130" i="4" s="1"/>
  <c r="AE133" i="4" s="1"/>
  <c r="W154" i="4"/>
  <c r="L8" i="8"/>
  <c r="L14" i="8"/>
  <c r="AH121" i="4"/>
  <c r="AH125" i="4" s="1"/>
  <c r="Y137" i="4"/>
  <c r="X149" i="4"/>
  <c r="X144" i="4"/>
  <c r="B59" i="7" s="1"/>
  <c r="AF107" i="4"/>
  <c r="AF116" i="4" s="1"/>
  <c r="AF128" i="4" s="1"/>
  <c r="AG97" i="4"/>
  <c r="AG44" i="4"/>
  <c r="AF45" i="4"/>
  <c r="M14" i="8"/>
  <c r="M8" i="8"/>
  <c r="AF74" i="4" l="1"/>
  <c r="AF130" i="4" s="1"/>
  <c r="AF133" i="4" s="1"/>
  <c r="X154" i="4"/>
  <c r="Y141" i="4"/>
  <c r="Y142" i="4" s="1"/>
  <c r="Z135" i="4"/>
  <c r="Z137" i="4"/>
  <c r="Z141" i="4" s="1"/>
  <c r="Z142" i="4" s="1"/>
  <c r="Y149" i="4"/>
  <c r="Y144" i="4"/>
  <c r="B60" i="7" s="1"/>
  <c r="AG107" i="4"/>
  <c r="AG116" i="4" s="1"/>
  <c r="AG128" i="4" s="1"/>
  <c r="AH97" i="4"/>
  <c r="AH107" i="4" s="1"/>
  <c r="AH116" i="4" s="1"/>
  <c r="AH128" i="4" s="1"/>
  <c r="AH44" i="4"/>
  <c r="AH45" i="4" s="1"/>
  <c r="AG45" i="4"/>
  <c r="AA135" i="4"/>
  <c r="AA137" i="4" s="1"/>
  <c r="AB135" i="4" s="1"/>
  <c r="N8" i="8"/>
  <c r="N14" i="8"/>
  <c r="AG74" i="4" l="1"/>
  <c r="AG130" i="4" s="1"/>
  <c r="AG133" i="4" s="1"/>
  <c r="AH74" i="4"/>
  <c r="AH130" i="4" s="1"/>
  <c r="AH133" i="4" s="1"/>
  <c r="Y154" i="4"/>
  <c r="Z149" i="4"/>
  <c r="Z144" i="4"/>
  <c r="B61" i="7" s="1"/>
  <c r="O14" i="8"/>
  <c r="O8" i="8"/>
  <c r="AA141" i="4"/>
  <c r="AA142" i="4" s="1"/>
  <c r="Z154" i="4" l="1"/>
  <c r="AB137" i="4"/>
  <c r="AA144" i="4"/>
  <c r="B62" i="7" s="1"/>
  <c r="AA149" i="4"/>
  <c r="AA154" i="4" l="1"/>
  <c r="P14" i="8"/>
  <c r="P8" i="8"/>
  <c r="AB141" i="4"/>
  <c r="AB142" i="4" s="1"/>
  <c r="AC135" i="4"/>
  <c r="AC137" i="4"/>
  <c r="AD135" i="4" s="1"/>
  <c r="AB149" i="4"/>
  <c r="AB144" i="4"/>
  <c r="B63" i="7" s="1"/>
  <c r="Q14" i="8"/>
  <c r="Q8" i="8"/>
  <c r="AB154" i="4" l="1"/>
  <c r="AD137" i="4"/>
  <c r="AE135" i="4" s="1"/>
  <c r="AC141" i="4"/>
  <c r="AC142" i="4" s="1"/>
  <c r="AC149" i="4" l="1"/>
  <c r="AC144" i="4"/>
  <c r="B64" i="7" s="1"/>
  <c r="AE137" i="4"/>
  <c r="AF135" i="4" s="1"/>
  <c r="AD141" i="4"/>
  <c r="AD142" i="4" s="1"/>
  <c r="AC154" i="4" l="1"/>
  <c r="R8" i="8"/>
  <c r="R14" i="8"/>
  <c r="AD149" i="4"/>
  <c r="AD144" i="4"/>
  <c r="B65" i="7" s="1"/>
  <c r="AF137" i="4"/>
  <c r="AG135" i="4" s="1"/>
  <c r="AE141" i="4"/>
  <c r="AE142" i="4" s="1"/>
  <c r="E16" i="8" l="1"/>
  <c r="G16" i="8"/>
  <c r="I16" i="8"/>
  <c r="K16" i="8"/>
  <c r="M16" i="8"/>
  <c r="O16" i="8"/>
  <c r="Q16" i="8"/>
  <c r="D16" i="8"/>
  <c r="F16" i="8"/>
  <c r="H16" i="8"/>
  <c r="J16" i="8"/>
  <c r="L16" i="8"/>
  <c r="N16" i="8"/>
  <c r="P16" i="8"/>
  <c r="R16" i="8"/>
  <c r="B15" i="8"/>
  <c r="P10" i="8"/>
  <c r="J10" i="8"/>
  <c r="K10" i="8"/>
  <c r="B9" i="8"/>
  <c r="G10" i="8"/>
  <c r="O10" i="8"/>
  <c r="F10" i="8"/>
  <c r="N10" i="8"/>
  <c r="R10" i="8"/>
  <c r="E10" i="8"/>
  <c r="I10" i="8"/>
  <c r="M10" i="8"/>
  <c r="Q10" i="8"/>
  <c r="D10" i="8"/>
  <c r="H10" i="8"/>
  <c r="L10" i="8"/>
  <c r="AD154" i="4"/>
  <c r="AE149" i="4"/>
  <c r="AE144" i="4"/>
  <c r="B66" i="7" s="1"/>
  <c r="AG137" i="4"/>
  <c r="AH135" i="4" s="1"/>
  <c r="AF141" i="4"/>
  <c r="AF142" i="4" s="1"/>
  <c r="B11" i="8" l="1"/>
  <c r="B17" i="8"/>
  <c r="AE154" i="4"/>
  <c r="AF149" i="4"/>
  <c r="AF144" i="4"/>
  <c r="B67" i="7" s="1"/>
  <c r="AH137" i="4"/>
  <c r="AH141" i="4" s="1"/>
  <c r="AH142" i="4" s="1"/>
  <c r="AG141" i="4"/>
  <c r="AG142" i="4" s="1"/>
  <c r="AF154" i="4" l="1"/>
  <c r="AG149" i="4"/>
  <c r="AG144" i="4"/>
  <c r="B68" i="7" s="1"/>
  <c r="AH149" i="4"/>
  <c r="AH144" i="4"/>
  <c r="AH154" i="4" s="1"/>
  <c r="B69" i="7" l="1"/>
  <c r="L156" i="4" s="1"/>
  <c r="L151" i="4"/>
  <c r="AG154" i="4"/>
  <c r="L14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J.H. Hoekstra</author>
    <author>Hoekstra, ing. J.H. (Jan Hendrik)</author>
    <author>Oerlemans, ir. R.H.J. (Ruud)</author>
  </authors>
  <commentList>
    <comment ref="E11" authorId="0" shapeId="0" xr:uid="{DB18735C-A641-48F2-87C0-B3DE717F23DD}">
      <text>
        <r>
          <rPr>
            <b/>
            <sz val="9"/>
            <color indexed="81"/>
            <rFont val="Tahoma"/>
            <family val="2"/>
          </rPr>
          <t>Eigen vermogen ingeval van balansfinanciering:</t>
        </r>
        <r>
          <rPr>
            <sz val="9"/>
            <color indexed="81"/>
            <rFont val="Tahoma"/>
            <family val="2"/>
          </rPr>
          <t xml:space="preserve">
U kunt hierbij uitgaan van het eigen vermogen op de meest recente jaarrekening, eventueel vermeerderd met extra inbreng van vermogen door aandeelhouders voor het project c.q. de projecten waarvoor u subsidie aanvraagt binnen deze openstellingsronde.  </t>
        </r>
      </text>
    </comment>
    <comment ref="E12" authorId="0" shapeId="0" xr:uid="{76056613-5A6B-412A-B1AF-7686E19E3D1D}">
      <text>
        <r>
          <rPr>
            <b/>
            <sz val="9"/>
            <color indexed="81"/>
            <rFont val="Tahoma"/>
            <family val="2"/>
          </rPr>
          <t>Rentedragende financiering ingeval van balansfinanciering:</t>
        </r>
        <r>
          <rPr>
            <sz val="9"/>
            <color indexed="81"/>
            <rFont val="Tahoma"/>
            <family val="2"/>
          </rPr>
          <t xml:space="preserve">
U kunt hierbij uitgaan van de rentedragende financiering op de meest recente jaarrekening, eventueel vermeerderd met extra financiering voor het project c.q. de projecten waarvoor u subsidie aanvraagt binnen deze openstellingsronde.  </t>
        </r>
      </text>
    </comment>
    <comment ref="E13" authorId="0" shapeId="0" xr:uid="{5BA959CA-0E3C-4744-9021-322AF3DBC2AD}">
      <text>
        <r>
          <rPr>
            <b/>
            <sz val="9"/>
            <color indexed="81"/>
            <rFont val="Tahoma"/>
            <family val="2"/>
          </rPr>
          <t>Eigen vermogen bij balansfinanciering:</t>
        </r>
        <r>
          <rPr>
            <sz val="9"/>
            <color indexed="81"/>
            <rFont val="Tahoma"/>
            <family val="2"/>
          </rPr>
          <t xml:space="preserve">
Voor de bepaling van percentage eigen vermogen wordt de onderstaande berekening aangehouden:
                              eigen vermogen
--------------------------------------------------------------------------------* 100%
eigen vermogen + rentedragende gefinancierd vermogen 
</t>
        </r>
      </text>
    </comment>
    <comment ref="E19" authorId="1" shapeId="0" xr:uid="{A3CD5890-54D4-4181-BD2E-08FACF16070A}">
      <text>
        <r>
          <rPr>
            <sz val="8"/>
            <color indexed="81"/>
            <rFont val="Tahoma"/>
            <family val="2"/>
          </rPr>
          <t xml:space="preserve">Het gaat hier om het aantal productie-installaties waarvoor de aanvrager binnen deze openstellingsronde subsidie aanvraagt.
</t>
        </r>
      </text>
    </comment>
    <comment ref="B22" authorId="0" shapeId="0" xr:uid="{0883EF34-DB4E-4C34-A76D-B6A823DF405B}">
      <text>
        <r>
          <rPr>
            <sz val="9"/>
            <color indexed="81"/>
            <rFont val="Tahoma"/>
            <family val="2"/>
          </rPr>
          <t xml:space="preserve">Hier geeft u een korte omschrijving van uw aanvraag of als u meerdere aanvragen hebt ingediend van alle aanvragen binnen deze openstellingsronde. </t>
        </r>
      </text>
    </comment>
    <comment ref="B25" authorId="0" shapeId="0" xr:uid="{32ECCC70-555C-4142-B006-A8FA95DF9B1D}">
      <text>
        <r>
          <rPr>
            <sz val="9"/>
            <color indexed="81"/>
            <rFont val="Tahoma"/>
            <family val="2"/>
          </rPr>
          <t xml:space="preserve">Hier geeft u een duidelijk plan voor de financiering van de productie-installatie(s) waarvoor u SDE++ aanvraagt. Het financieringsplan moet aannemelijk maken dat het project gefinancierd kan worden als SDE++ subsidie wordt verleend.
- Als het aandeel eigen vermogen in de totale investering minder is dan 20% is ook een verklaring van een financier verplicht.
- U geeft altijd inzicht in het eigen vermogen van de subsidieaanvrager zelf. Dit doet u door het bijvoegen van een jaarrekening of bedrijfsbalans of als u geen jaarrekening of bedrijfsbalans heeft (bijvoorbeeld in het geval dat u een recent een nieuwe entiteit heeft opgericht voor het project waarvoor u subsidie aanvraagt) door toe te lichten waarom u als aanvrager geen jaarrekening of bedrijfsbalans heeft.
- Het onderdeel eigen vermogen door derden of aandeelhouder(s) onderbouwt u door een contract met deze partij(en) bij te voegen en eventueel een jaarrekening of bedrijfsbalans van deze partij(en) bij te voegen. </t>
        </r>
      </text>
    </comment>
    <comment ref="B30" authorId="1" shapeId="0" xr:uid="{23784CDD-DB9C-4030-8964-73BC5D2BD225}">
      <text>
        <r>
          <rPr>
            <b/>
            <sz val="8"/>
            <color indexed="81"/>
            <rFont val="Tahoma"/>
            <family val="2"/>
          </rPr>
          <t>Investeringen:</t>
        </r>
        <r>
          <rPr>
            <sz val="8"/>
            <color indexed="81"/>
            <rFont val="Tahoma"/>
            <family val="2"/>
          </rPr>
          <t xml:space="preserve">
Hieronder vallen alle te verwachten investeringskosten die moeten worden gemaakt ten behoeve van de realisatie van de productie-installatie(s).  
Wanneer u voor één productie-installatie subsidie aanvraagt in deze openstellingsronde, volstaat het noemen van de totale investeringskosten van de installatie.
Wanneer u voor meerdere installaties aanvraagt in deze openstellingsronde, geeft u per installatie of cluster van soortgelijke installaties de investeringskosten op. U kunt in dit invulblok eventueel extra regels invoegen.
In het tabblad Exploitatieberekening geeft u per installatie per hoofdcomponent de investeringskosten op.</t>
        </r>
      </text>
    </comment>
    <comment ref="G40" authorId="2" shapeId="0" xr:uid="{4DEB4B20-4A91-4EDB-9C77-E9BFA6C663F0}">
      <text>
        <r>
          <rPr>
            <b/>
            <sz val="8"/>
            <color indexed="81"/>
            <rFont val="Tahoma"/>
            <family val="2"/>
          </rPr>
          <t xml:space="preserve">Let op:
</t>
        </r>
        <r>
          <rPr>
            <sz val="8"/>
            <color indexed="81"/>
            <rFont val="Tahoma"/>
            <family val="2"/>
          </rPr>
          <t>Dit totaal moet gelijk zijn aan de som van alle aanvragen indien u meerdere aanvragen in deze openstellingsronde hebt ingediend</t>
        </r>
      </text>
    </comment>
    <comment ref="A47" authorId="2" shapeId="0" xr:uid="{B109F112-6E80-4672-A314-F961AE81EA37}">
      <text>
        <r>
          <rPr>
            <sz val="8"/>
            <color indexed="81"/>
            <rFont val="Tahoma"/>
            <family val="2"/>
          </rPr>
          <t xml:space="preserve">De financiering bestaat uit inbreng eigen vermogen en/of inbreng uit vreemd vermogen. 
U geeft op hoeveel Euro u uit eigen vermogen financiert. Het resterende bedrag specificeert u onder het kopje vreemd vermogen. 
</t>
        </r>
      </text>
    </comment>
    <comment ref="B51" authorId="1" shapeId="0" xr:uid="{58FC15CB-5D6F-4107-975E-0BADFF3A2A68}">
      <text>
        <r>
          <rPr>
            <b/>
            <sz val="8"/>
            <color indexed="81"/>
            <rFont val="Tahoma"/>
            <family val="2"/>
          </rPr>
          <t xml:space="preserve">Investeringssubsidies:
</t>
        </r>
        <r>
          <rPr>
            <sz val="8"/>
            <color indexed="81"/>
            <rFont val="Tahoma"/>
            <family val="2"/>
          </rPr>
          <t xml:space="preserve">Hiertoe behoren alle subsidies die worden ontvangen voor de investeringen in alle productie-installaties waarvoor deze aanvrager binnen deze openstellingsronde aanvraagt.
Graag hier de naam van de subsidieregeling vermelden.
</t>
        </r>
      </text>
    </comment>
    <comment ref="G51" authorId="1" shapeId="0" xr:uid="{F514513C-4EAF-4FFE-B8A9-4C709BC96A2A}">
      <text>
        <r>
          <rPr>
            <sz val="8"/>
            <color indexed="81"/>
            <rFont val="Tahoma"/>
            <family val="2"/>
          </rPr>
          <t xml:space="preserve">Graag hier de hoogte van de aangevraagde investeringssubsidie invullen. Hiertoe behoren alle subsidies die worden ontvangen voor de investeringen in alle productie-installaties waarvoor deze aanvrager binnen deze openstellingsronde aanvraagt.
</t>
        </r>
      </text>
    </comment>
    <comment ref="G55" authorId="1" shapeId="0" xr:uid="{A6ABAB8C-40E7-4477-9523-81E3BF52A493}">
      <text>
        <r>
          <rPr>
            <sz val="8"/>
            <color indexed="81"/>
            <rFont val="Tahoma"/>
            <family val="2"/>
          </rPr>
          <t>Het gaat hierbij specifiek om het eigen vermogen van uw onderneming dat beschikbaar is voor de investering in het project op het moment dat u de subsidie aanvraag/aanvragen indient.</t>
        </r>
      </text>
    </comment>
    <comment ref="G58" authorId="1" shapeId="0" xr:uid="{DCF300CC-A4EC-4178-B6C4-3F8E9F0B056E}">
      <text>
        <r>
          <rPr>
            <sz val="8"/>
            <color indexed="81"/>
            <rFont val="Tahoma"/>
            <family val="2"/>
          </rPr>
          <t xml:space="preserve">Hier vult u het totaalbedrag in dat middels crowdfunding of participaties wordt ingebracht.
</t>
        </r>
      </text>
    </comment>
    <comment ref="B61" authorId="1" shapeId="0" xr:uid="{B41E4B29-B323-444D-BE7F-E48FD4B6157D}">
      <text>
        <r>
          <rPr>
            <sz val="8"/>
            <color indexed="81"/>
            <rFont val="Tahoma"/>
            <family val="2"/>
          </rPr>
          <t>Eigen vermogen door derden of aandeelhouder(s) is onderbouwd met een contract.
Maak eventueel duidelijk dat de eigen vermogenverschaffer het geld beschikbaar heeft (jaarrekening of bedrijfsbalans).</t>
        </r>
      </text>
    </comment>
    <comment ref="B72" authorId="1" shapeId="0" xr:uid="{3E733C8E-2217-456D-9AD8-E0A85A7EAE96}">
      <text>
        <r>
          <rPr>
            <sz val="8"/>
            <color indexed="81"/>
            <rFont val="Tahoma"/>
            <family val="2"/>
          </rPr>
          <t>Eigen vermogen door achtergestelde leningen van derden is onderbouwd met een contract.
Maak eventueel duidelijk dat de verschaffer van de achtergestelde lening het geld beschikbaar heeft (jaarrekening of bedrijfsbalans).
Ingeval van een bij overheidswege verschafte achtergestelde lening hoeft u niet te onderbouwen dat deze geld beschikbaar heeft, maar volstaat het contract zelf.</t>
        </r>
      </text>
    </comment>
    <comment ref="B84" authorId="1" shapeId="0" xr:uid="{16A97686-2F0F-4EB4-AC18-7297D26217D0}">
      <text>
        <r>
          <rPr>
            <sz val="8"/>
            <color indexed="81"/>
            <rFont val="Tahoma"/>
            <family val="2"/>
          </rPr>
          <t xml:space="preserve">Onderbouwt u het vreemd vermogen zoveel mogelijk met contracten, offertes of intentieverklaring van de beoogde financier(s). 
</t>
        </r>
        <r>
          <rPr>
            <b/>
            <sz val="8"/>
            <color indexed="81"/>
            <rFont val="Tahoma"/>
            <family val="2"/>
          </rPr>
          <t>Let op:</t>
        </r>
        <r>
          <rPr>
            <sz val="8"/>
            <color indexed="81"/>
            <rFont val="Tahoma"/>
            <family val="2"/>
          </rPr>
          <t xml:space="preserve">
Als u voor de investeringskosten van het project, waarvoor u SDE++ subsidie aanvraagt, over minder dan 20% eigen vermogen beschikt voor deze investering, moet u verplicht een contract, offerte of intentieverklaring van een financier toevoegen. Hieruit moet blijken dat deze financier bereid is om het project te financieren in geval van een positieve SDE+ beschikking.
In het geval dat u wel over 20% van de investeringskosten aan eigen vermogen beschikt, maar dit niet in het project kan of wil investeren moet u eveneens verplicht een contract, offerte of intentieverklaring van de beoogde financier(s) toevoegen.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Hoekstra, ing. J.H. (Jan Hendrik)</author>
  </authors>
  <commentList>
    <comment ref="B17" authorId="0" shapeId="0" xr:uid="{F57BEF25-B077-429F-B020-C8DA35D060E9}">
      <text>
        <r>
          <rPr>
            <sz val="8"/>
            <color indexed="81"/>
            <rFont val="Tahoma"/>
            <family val="2"/>
          </rPr>
          <t xml:space="preserve">Hier vult u het vermogen van de productie-installatie in uitgedrukt in kW.
</t>
        </r>
      </text>
    </comment>
    <comment ref="A32" authorId="0" shapeId="0" xr:uid="{E9095E03-0134-4404-AE13-373076400717}">
      <text>
        <r>
          <rPr>
            <sz val="8"/>
            <color indexed="81"/>
            <rFont val="Tahoma"/>
            <family val="2"/>
          </rPr>
          <t>Alleen warmte die nuttig (volgens artikel 1 van de algemene uitvoeringsregeling stimulering duurzame energieproductie) wordt gebruikt, kan worden gesubsidieerd. Daarom vermeldt u hoe de warmte gebruikt gaat worden.
Als u de opgewekte warmte gebruikt in uw eigen bedrijf, vermeldt dan voor welke gebouwverwarming of welk productieproces u de warmte gaat aanwenden.
Als u warmte levert aan derden, vermeldt dan voor welke gebouwverwarming of welk productieproces uw warmteafnemer de warmte gaat aanwenden.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Oerlemans, ir. R.H.J. (Ruud)</author>
    <author>Hoekstra, ing. J.H. (Jan Hendrik)</author>
    <author>JHH</author>
    <author>RVO</author>
    <author>J.H. Hoekstra</author>
  </authors>
  <commentList>
    <comment ref="B17" authorId="0" shapeId="0" xr:uid="{BAB39E0C-D283-4CF4-BA97-74B02619CE25}">
      <text>
        <r>
          <rPr>
            <b/>
            <sz val="8"/>
            <color indexed="81"/>
            <rFont val="Tahoma"/>
            <family val="2"/>
          </rPr>
          <t>Investeringskosten:</t>
        </r>
        <r>
          <rPr>
            <sz val="8"/>
            <color indexed="81"/>
            <rFont val="Tahoma"/>
            <family val="2"/>
          </rPr>
          <t xml:space="preserve">
Hier beschrijft u de investeringen op niveau van hoofdcomponenten. Hieronder vallen alle te verwachten investeringskosten die moeten worden gemaakt ten behoeve van de realisatie productie-installatie voor duurzame energie. 
Het is voldoende om investeringskosten op het niveau van hoofdcomponenten te specificeren. </t>
        </r>
      </text>
    </comment>
    <comment ref="N17" authorId="1" shapeId="0" xr:uid="{C76EB25A-54F1-4B02-A0F2-3F0332D75775}">
      <text>
        <r>
          <rPr>
            <sz val="8"/>
            <color indexed="81"/>
            <rFont val="Tahoma"/>
            <family val="2"/>
          </rPr>
          <t xml:space="preserve">In dit blok vult u de investeringsbedragen in van de hoofdcomponenten.
</t>
        </r>
      </text>
    </comment>
    <comment ref="E34" authorId="1" shapeId="0" xr:uid="{FE96901E-954C-4690-88F7-3F921FC1A908}">
      <text>
        <r>
          <rPr>
            <b/>
            <sz val="8"/>
            <color indexed="81"/>
            <rFont val="Tahoma"/>
            <family val="2"/>
          </rPr>
          <t>Toelichting:</t>
        </r>
        <r>
          <rPr>
            <sz val="8"/>
            <color indexed="81"/>
            <rFont val="Tahoma"/>
            <family val="2"/>
          </rPr>
          <t xml:space="preserve">
De looptijd van de lening is in deze exploitatieberekening standaard gelijk aan de subsidielooptijd. Indien uw lening een kortere looptijd heeft kunt u de looptijd van de lening naar beneden aanpassen.    
</t>
        </r>
      </text>
    </comment>
    <comment ref="L34" authorId="1" shapeId="0" xr:uid="{D0ABC709-5B7A-4F9E-821F-D64705C99365}">
      <text>
        <r>
          <rPr>
            <b/>
            <sz val="8"/>
            <color indexed="81"/>
            <rFont val="Tahoma"/>
            <family val="2"/>
          </rPr>
          <t>Vreemd vermogen:</t>
        </r>
        <r>
          <rPr>
            <sz val="8"/>
            <color indexed="81"/>
            <rFont val="Tahoma"/>
            <family val="2"/>
          </rPr>
          <t xml:space="preserve">
In dit invulblok vult u het rentepercentage, de looptijd van de lening en de aflossingsvorm van de lening in. Het model rekent dan zelf de aflossing en rente per jaar uit. </t>
        </r>
      </text>
    </comment>
    <comment ref="E40" authorId="1" shapeId="0" xr:uid="{B9921934-3D48-4740-9A73-0017C2B6229C}">
      <text>
        <r>
          <rPr>
            <sz val="8"/>
            <color indexed="81"/>
            <rFont val="Tahoma"/>
            <family val="2"/>
          </rPr>
          <t xml:space="preserve">Hier vult u in welk deel van de door de productie-installatie opgewekte hernieuwbare elektriciteit u gemiddeld per jaar verwacht zelf te gaan gebruiken op uw locatie.
</t>
        </r>
      </text>
    </comment>
    <comment ref="H40" authorId="1" shapeId="0" xr:uid="{471D93E3-4320-42CE-82A0-632898E10BB1}">
      <text>
        <r>
          <rPr>
            <sz val="8"/>
            <color indexed="81"/>
            <rFont val="Tahoma"/>
            <family val="2"/>
          </rPr>
          <t>Voor de opgewekte elektriciteit die u zelf gebruikt, kunt u uitgaan van de vermeden inkoopkosten inclusief bijkomende kosten als energiebelasting (EB) en transportkosten.</t>
        </r>
        <r>
          <rPr>
            <b/>
            <sz val="8"/>
            <color indexed="81"/>
            <rFont val="Tahoma"/>
            <family val="2"/>
          </rPr>
          <t xml:space="preserve"> </t>
        </r>
        <r>
          <rPr>
            <sz val="8"/>
            <color indexed="81"/>
            <rFont val="Tahoma"/>
            <family val="2"/>
          </rPr>
          <t xml:space="preserve">
</t>
        </r>
      </text>
    </comment>
    <comment ref="L40" authorId="1" shapeId="0" xr:uid="{CA53BBD0-50E2-4ACC-9321-47B202327ABC}">
      <text>
        <r>
          <rPr>
            <sz val="8"/>
            <color indexed="81"/>
            <rFont val="Tahoma"/>
            <family val="2"/>
          </rPr>
          <t xml:space="preserve">In dit invulblok vult u de indexatie per soort energie of product waarvoor u subsidie aanvraagt in. Bij elektriciteit geldt het indexatiepercentage in de samengevoegde cel L40-43 voor zowel netlevering, niet-netlevering als gemiste productie.
In het geval dat er sprake is van langlopende energiecontracten of leveringscontracten voor uw product met een vaste prijs, kunt u deze op 0% zetten. Anders kunt u de indexatie invullen die u verwacht voor de prijsontwikkeling in Nederland voor de betreffende soort energie. 
</t>
        </r>
      </text>
    </comment>
    <comment ref="E41" authorId="2" shapeId="0" xr:uid="{3A00D9D8-BBD4-4D82-B5F1-56299B3B9EE6}">
      <text>
        <r>
          <rPr>
            <b/>
            <sz val="9"/>
            <color indexed="81"/>
            <rFont val="Tahoma"/>
            <family val="2"/>
          </rPr>
          <t>Toelichting bij netaansluiting teruglevering ≥ 200 kW</t>
        </r>
        <r>
          <rPr>
            <sz val="9"/>
            <color indexed="81"/>
            <rFont val="Tahoma"/>
            <charset val="1"/>
          </rPr>
          <t xml:space="preserve">
Voor netlevering van elektriciteit door productie-installaties zon-PV, wind, waterkracht en biomassavergisting-WKK op een netaansluiting ≥ 200 kW geldt de voorwaarde dat deze productie niet in aanmerking komt voor SDE++ subsidie tijdens periodes van negatieve elektriciteitsprijzen ≥ 1 uur op de European Power Exchange groothandelsbeurs voor elektriciteit (EPEX). 
Indien U de opgewekte elektriciteit gaat verkopen via een purchase power agreement (PPA) en u laat de productie-installatie doorproduceren tijdens negatieve prijsperioden op de EPEX-beurs, vult u in cel E41 de verwachte hoeveelheid elektriciteit in, die geproduceerd gaat worden ten tijde van negatieve elektriciteieitsprijzen op de EPEX-beurs.
Meer informatie over negatieve elektriciteitsprijzen vindt u op:
- https://www.rvo.nl/subsidies-financiering/sde/produceren#negatieve-elektriciteitsprijzen
- https://www.pbl.nl/system/files/document/2024-05/2024-pbl-definitieve-correctiebedragen-2023-5465.pdf (hoofdstuk 2)
</t>
        </r>
        <r>
          <rPr>
            <b/>
            <sz val="9"/>
            <color indexed="81"/>
            <rFont val="Tahoma"/>
            <family val="2"/>
          </rPr>
          <t>Toelichting bij netaansluiting teruglevering &lt; 200 kW</t>
        </r>
        <r>
          <rPr>
            <sz val="9"/>
            <color indexed="81"/>
            <rFont val="Tahoma"/>
            <charset val="1"/>
          </rPr>
          <t xml:space="preserve">
Indien uw netaansluiting voor teruglevering kleiner is dan 200 KW vult u in cel E41 0 kWh in, omdat de uitsluiting van SDE++ subsidie bij negatieve EPEX-prijzen voor uw productie-installatie niet van toepassing is. 
</t>
        </r>
      </text>
    </comment>
    <comment ref="H41" authorId="3" shapeId="0" xr:uid="{FF054D51-481B-4104-A613-7011D17EA6B5}">
      <text>
        <r>
          <rPr>
            <sz val="9"/>
            <color indexed="81"/>
            <rFont val="Tahoma"/>
            <charset val="1"/>
          </rPr>
          <t xml:space="preserve">In deze cel vult u de marktvergoeding in als u de elektriciteit verkoopt via een stroomafname-overeenkomst (ook wel PPA genoemd).  
</t>
        </r>
      </text>
    </comment>
    <comment ref="E42" authorId="3" shapeId="0" xr:uid="{254E4ACC-93D3-47C4-A795-240605E299A7}">
      <text>
        <r>
          <rPr>
            <b/>
            <sz val="9"/>
            <color indexed="81"/>
            <rFont val="Tahoma"/>
            <family val="2"/>
          </rPr>
          <t xml:space="preserve">Toelichting
</t>
        </r>
        <r>
          <rPr>
            <sz val="9"/>
            <color indexed="81"/>
            <rFont val="Tahoma"/>
            <family val="2"/>
          </rPr>
          <t xml:space="preserve">Voor netlevering van elektriciteit door productie-installaties zon-PV, wind, waterkracht en biomassavergisting-WKK op een netaansluiting ≥ 200 kW geldt de voorwaarde dat deze productie niet in aanmerking komt voor SDE++ subsidie tijdens periodes van negatieve elektriciteitsprijzen ≥ 1 uur op de European Power Exchange groothandelsbeurs voor elektriciteit (EPEX). 
Indien U de opgewekte elektriciteit gaat verkopen op de EPEX-beurs en zet uw productie-installatie stop tijdens negatieve prijzen op de EPEX-beurs, kunt u de  verwachte jaarlijkse germiste productie invullen in cel E42. De marktwaarde staat standaard op 0 €/kWh in cel H42. In het geval u bijvoorbeeld opbrengsten (onbalansvergoeding) verwacht door curtailment (terugregelen of stilzetten) van uw productie-installatie voor opwekking van hernieuwbare elektriciteit kunt u de gemiddelde vergoeding per kWh invullen in cel H42.
 </t>
        </r>
        <r>
          <rPr>
            <b/>
            <sz val="9"/>
            <color indexed="81"/>
            <rFont val="Tahoma"/>
            <family val="2"/>
          </rPr>
          <t xml:space="preserve">
</t>
        </r>
        <r>
          <rPr>
            <sz val="9"/>
            <color indexed="81"/>
            <rFont val="Tahoma"/>
            <family val="2"/>
          </rPr>
          <t>Meer informatie over negatieve elektriciteitsprijzen vindt u op:
- https://www.rvo.nl/subsidies-financiering/sde/produceren#negatieve-elektriciteitsprijzen
- https://www.pbl.nl/system/files/document/2024-05/2024-pbl-definitieve-correctiebedragen-2023-5465.pdf (hoofdstuk 2)</t>
        </r>
        <r>
          <rPr>
            <b/>
            <sz val="9"/>
            <color indexed="81"/>
            <rFont val="Tahoma"/>
            <family val="2"/>
          </rPr>
          <t xml:space="preserve">
</t>
        </r>
      </text>
    </comment>
    <comment ref="H42" authorId="3" shapeId="0" xr:uid="{8B336CEC-8F55-497D-B483-80DDA680A48C}">
      <text>
        <r>
          <rPr>
            <sz val="9"/>
            <color indexed="81"/>
            <rFont val="Tahoma"/>
            <family val="2"/>
          </rPr>
          <t xml:space="preserve">Standaard staat de marktvergoeding voor gemiste productie op € 0/kWh
In het geval u bijvoorbeeld opbrengsten (onbalansvergoeding) verwacht door curtailment (terugregelen of stilzetten) van uw productie-installatie voor opwekking van hernieuwbare elektriciteit, kunt u deze hier invullen.
</t>
        </r>
      </text>
    </comment>
    <comment ref="H43" authorId="4" shapeId="0" xr:uid="{9D5D0B1D-97B4-49B7-AC12-E0FD4FD1F889}">
      <text>
        <r>
          <rPr>
            <sz val="9"/>
            <color indexed="81"/>
            <rFont val="Tahoma"/>
            <family val="2"/>
          </rPr>
          <t xml:space="preserve">In deze cel vult u de door u verwachte verkoopprijs van één kWh elektriciteit in. Hierbij dient u uit te gaan van het gemiddelde over een jaar.
Indien uw productie-installatie zon-PV, wind, osmose, waterkracht, of biomassavergisting-WKK betreft en u geen vaste leveringsprijs hebt, kunt u hier de waarde uit cel H58 overnemen. 
</t>
        </r>
      </text>
    </comment>
    <comment ref="H44" authorId="4" shapeId="0" xr:uid="{C02EE4DD-47AC-46E5-BF2B-A8E3D0728392}">
      <text>
        <r>
          <rPr>
            <sz val="9"/>
            <color indexed="81"/>
            <rFont val="Tahoma"/>
            <family val="2"/>
          </rPr>
          <t>In deze cel vult u de verwachte verkoopprijs van uw product in.
Voor de onderstaande producten is dat in €/kWh:
- hernieuwbare en CO</t>
        </r>
        <r>
          <rPr>
            <vertAlign val="subscript"/>
            <sz val="9"/>
            <color indexed="81"/>
            <rFont val="Tahoma"/>
            <family val="2"/>
          </rPr>
          <t>2</t>
        </r>
        <r>
          <rPr>
            <sz val="9"/>
            <color indexed="81"/>
            <rFont val="Tahoma"/>
            <family val="2"/>
          </rPr>
          <t>-arme warmte
- hernieuwbaar gas
- waterstof 
- hernieuwbare transportbrandstof
Voor de levering van CO</t>
        </r>
        <r>
          <rPr>
            <vertAlign val="subscript"/>
            <sz val="9"/>
            <color indexed="81"/>
            <rFont val="Tahoma"/>
            <family val="2"/>
          </rPr>
          <t>2</t>
        </r>
        <r>
          <rPr>
            <sz val="9"/>
            <color indexed="81"/>
            <rFont val="Tahoma"/>
            <family val="2"/>
          </rPr>
          <t xml:space="preserve"> aan de glastuinbouw (CCU) is dat in €/ton CO</t>
        </r>
        <r>
          <rPr>
            <vertAlign val="subscript"/>
            <sz val="9"/>
            <color indexed="81"/>
            <rFont val="Tahoma"/>
            <family val="2"/>
          </rPr>
          <t>2</t>
        </r>
        <r>
          <rPr>
            <sz val="9"/>
            <color indexed="81"/>
            <rFont val="Tahoma"/>
            <family val="2"/>
          </rPr>
          <t xml:space="preserve">
Hierbij dient u uit te gaan van een gemiddelde prijs over een jaar. 
Indien u warmte opwekt en (een deel van) de opgewekte warmte zelf gebruikt, kunt u (voor dat deel) uitgaan van de vermeden inkoopkosten aan gas inclusief bijkomende kosten als energiebelasting (EB) en transportkosten. 
</t>
        </r>
      </text>
    </comment>
    <comment ref="H49" authorId="4" shapeId="0" xr:uid="{E19CB5C3-9CB5-434E-908D-CB91212ED538}">
      <text>
        <r>
          <rPr>
            <sz val="9"/>
            <color indexed="81"/>
            <rFont val="Tahoma"/>
            <family val="2"/>
          </rPr>
          <t xml:space="preserve">De ETS-prijs is in deze exploitatieberekening standaard gelijk aan de ETS-component in het voorlopige correctiebedrag. Indien u kunt onderbouwen dat voor u een andere waarde van toepassing is kunt u dit aanpassen.
</t>
        </r>
      </text>
    </comment>
    <comment ref="L49" authorId="1" shapeId="0" xr:uid="{1FA35F50-4D13-48B8-A56B-FE7F145A22FF}">
      <text>
        <r>
          <rPr>
            <sz val="8"/>
            <color indexed="81"/>
            <rFont val="Tahoma"/>
            <family val="2"/>
          </rPr>
          <t xml:space="preserve">Hier vult u de indexatie in die u verwacht voor de ontwikkeling van de 
ETS-prijs.
</t>
        </r>
      </text>
    </comment>
    <comment ref="E54" authorId="1" shapeId="0" xr:uid="{8CB8E13D-799B-48AC-BEE4-3DE7C9124366}">
      <text>
        <r>
          <rPr>
            <b/>
            <sz val="8"/>
            <color indexed="81"/>
            <rFont val="Tahoma"/>
            <family val="2"/>
          </rPr>
          <t>Toelichting:</t>
        </r>
        <r>
          <rPr>
            <sz val="8"/>
            <color indexed="81"/>
            <rFont val="Tahoma"/>
            <family val="2"/>
          </rPr>
          <t xml:space="preserve">
Hier vult u het bedrag in waarvoor u subsidie aanvraagt.
Standaard staat het maximum basisbedrag ingevuld, maar u kunt ook voor een lager bedrag aanvragen om meer kans op subsidie te maken.
</t>
        </r>
      </text>
    </comment>
    <comment ref="E55" authorId="2" shapeId="0" xr:uid="{47445DE8-7E9F-4DF9-8638-04A97D0CEB2A}">
      <text>
        <r>
          <rPr>
            <b/>
            <sz val="9"/>
            <color indexed="81"/>
            <rFont val="Tahoma"/>
            <family val="2"/>
          </rPr>
          <t>Toelichting:</t>
        </r>
        <r>
          <rPr>
            <sz val="9"/>
            <color indexed="81"/>
            <rFont val="Tahoma"/>
            <charset val="1"/>
          </rPr>
          <t xml:space="preserve">
Als hier een waarde staat, betreft het hier het opbrengstgrensbedrag voor de categorie wind of zon-PV.
Voor de SDE++ 2024 ligt het opbrengstgrensbedrag 0,0180 euro/kWh boven het basisbedrag van de betreffende categorie wind of zon-PV. Indien in enig jaar het correctiebedrag (generieke bepaalde marktprijs) boven het opbrengstgrensbedrag ligt, wordt dit gezien als teveel staatsteun en wordt dit in mindering gebracht op reeds ontvangen subsidies of nog uit te betalen subsidies in de toekomst. Omdat dit rekenmodel werkt met een prognose waarbij prijzen geindexeerd worden naar de toekomst, zullen in dit model alleen "te hoge correctiebedragen" (opbrengsten die uit de markt kunnen worden verkregen) worden verrekend (teruggevorderd) met reeds ontvangen subsidie. Deze terugvordering zal echter nooit hoger zijn dan de reeds ontvangen SDE++ subsidie in de jaren voorafgaand aan de terugvordering.    
</t>
        </r>
      </text>
    </comment>
    <comment ref="H58" authorId="4" shapeId="0" xr:uid="{003EF928-6114-4B7D-917D-4164CFDB6CA6}">
      <text>
        <r>
          <rPr>
            <sz val="9"/>
            <color indexed="81"/>
            <rFont val="Tahoma"/>
            <family val="2"/>
          </rPr>
          <t>Het verwachte correctiebedrag in deze exploitatieberekening is standaard gelijk aan de gemiddelde langetermijn energie-of productprijs die PBL berekend heeft voor de betreffende categorie, teruggerekend naar jaar 1 en eventueel vermeerderd met categorie-afhankelijke opslagen zoals vermeden energiebelasting, transportkosten voor elektriciteit, waarde Garantie van Oorsprong (GVO) en Hernieuwbare Brandstof Eenheden (HBE). Indien u kunt onderbouwen dat een andere set van beginwaarde en indexatie beter aansluit bij een verwachte prijsontwikkeling kunt u dit aanpassen.</t>
        </r>
      </text>
    </comment>
    <comment ref="L58" authorId="4" shapeId="0" xr:uid="{D602FB62-9EE3-4728-B11F-4845354C6EA3}">
      <text>
        <r>
          <rPr>
            <sz val="9"/>
            <color indexed="81"/>
            <rFont val="Tahoma"/>
            <family val="2"/>
          </rPr>
          <t>Hier vult u de indexatie in die u verwacht voor de ontwikkeling van de ETS-prijs.</t>
        </r>
      </text>
    </comment>
    <comment ref="H63" authorId="4" shapeId="0" xr:uid="{5C07FB91-B697-4CF7-80F9-922E45075749}">
      <text>
        <r>
          <rPr>
            <sz val="9"/>
            <color indexed="81"/>
            <rFont val="Tahoma"/>
            <family val="2"/>
          </rPr>
          <t>De ETS-prijs is in deze exploitatieberekening standaard gelijk aan de ETS-component in het voorlopige correctiebedrag 2024. Indien u kunt onderbouwen dat voor u een andere waarde van toepassing is kunt u dit aanpassen.</t>
        </r>
      </text>
    </comment>
    <comment ref="L63" authorId="4" shapeId="0" xr:uid="{A499367B-D128-4611-BEDF-F93E75B709F0}">
      <text>
        <r>
          <rPr>
            <sz val="9"/>
            <color indexed="81"/>
            <rFont val="Tahoma"/>
            <family val="2"/>
          </rPr>
          <t>Hier vult u de indexatie in die u verwacht voor de ontwikkeling van de ETS-prijs.</t>
        </r>
      </text>
    </comment>
    <comment ref="B70" authorId="1" shapeId="0" xr:uid="{A55D0FB1-30B2-4496-8AC2-0F6B0E8FCC86}">
      <text>
        <r>
          <rPr>
            <b/>
            <sz val="8"/>
            <color indexed="81"/>
            <rFont val="Tahoma"/>
            <family val="2"/>
          </rPr>
          <t>Overige exploitatiesubsidies:</t>
        </r>
        <r>
          <rPr>
            <sz val="8"/>
            <color indexed="81"/>
            <rFont val="Tahoma"/>
            <family val="2"/>
          </rPr>
          <t xml:space="preserve">
Hiertoe behoren alle exploitatiesubsidies die u naast SDE+ subsidie verwacht te ontvangen. Indien van toepassing vult u hier de naam in van exploitatiesubsidie.  
</t>
        </r>
      </text>
    </comment>
    <comment ref="O70" authorId="1" shapeId="0" xr:uid="{A4D96456-68BC-4EEF-8A0D-C47D5CE4D168}">
      <text>
        <r>
          <rPr>
            <sz val="8"/>
            <color indexed="81"/>
            <rFont val="Tahoma"/>
            <family val="2"/>
          </rPr>
          <t xml:space="preserve">Hier kunt u, indien van toepassing, per jaar het bedrag van de overige exploitatiesubsidies invullen.
</t>
        </r>
      </text>
    </comment>
    <comment ref="B71" authorId="1" shapeId="0" xr:uid="{0F6CB6A3-D6F2-4F66-8C2A-F215854F94A2}">
      <text>
        <r>
          <rPr>
            <b/>
            <sz val="8"/>
            <color indexed="81"/>
            <rFont val="Tahoma"/>
            <family val="2"/>
          </rPr>
          <t>Additionele inkomsten:</t>
        </r>
        <r>
          <rPr>
            <sz val="8"/>
            <color indexed="81"/>
            <rFont val="Tahoma"/>
            <family val="2"/>
          </rPr>
          <t xml:space="preserve">
Hieronder vallen alle opbrengsten die uit de exploitatie van het project verkregen worden, bijvoorbeeld verkoopopbrengst van geproduceerde goederen, anders dan de producten waarvoor u subsidie uit de SDE++ ontvangt. Indien van toepassing kunt u hier het type opbrengsten invullen. 
Additionele inkomsten door verkoop van bijproducten bij biomassa installaties kunt u invullen bij "Verwachte kosten (+) en opbrengsten (-) biomassa en bijproducten". </t>
        </r>
      </text>
    </comment>
    <comment ref="O71" authorId="1" shapeId="0" xr:uid="{4D709AE6-106F-446F-AD8E-AA6056055043}">
      <text>
        <r>
          <rPr>
            <sz val="8"/>
            <color indexed="81"/>
            <rFont val="Tahoma"/>
            <family val="2"/>
          </rPr>
          <t xml:space="preserve">Hier kunt u, indien van toepassing, per jaar het bedrag van de overige additionale inkomsten invullen.
</t>
        </r>
      </text>
    </comment>
    <comment ref="B78" authorId="4" shapeId="0" xr:uid="{8A671653-8A7F-44A4-BAEE-264894F976CF}">
      <text>
        <r>
          <rPr>
            <sz val="9"/>
            <color indexed="81"/>
            <rFont val="Tahoma"/>
            <family val="2"/>
          </rPr>
          <t xml:space="preserve">Er wordt hier een lijst met standaard kostenposten getoond. Deze lijst kunt u aanpassen aan uw specifieke project. 
</t>
        </r>
      </text>
    </comment>
    <comment ref="N78" authorId="1" shapeId="0" xr:uid="{0D24105D-03EB-4563-A6DB-4C8039A2BDCA}">
      <text>
        <r>
          <rPr>
            <sz val="8"/>
            <color indexed="81"/>
            <rFont val="Tahoma"/>
            <family val="2"/>
          </rPr>
          <t xml:space="preserve">In dit invulblok vult u per jaar de bedragen van de verschillende soorten aan operationele kosten in. 
</t>
        </r>
      </text>
    </comment>
    <comment ref="L97" authorId="1" shapeId="0" xr:uid="{027DB946-E109-4B00-82F2-F8DCDF57F56F}">
      <text>
        <r>
          <rPr>
            <b/>
            <sz val="8"/>
            <color indexed="81"/>
            <rFont val="Tahoma"/>
            <family val="2"/>
          </rPr>
          <t>Indexatie %:</t>
        </r>
        <r>
          <rPr>
            <sz val="8"/>
            <color indexed="81"/>
            <rFont val="Tahoma"/>
            <family val="2"/>
          </rPr>
          <t xml:space="preserve">
U kunt hierbij uitgaan van de actuele biomassaprijzen en hier een percentage invullen voor de verwachte indexatie (inflatie) van de biomassaprijzen.</t>
        </r>
      </text>
    </comment>
    <comment ref="L112" authorId="1" shapeId="0" xr:uid="{E4056B5B-D666-4019-8799-2514913D0D82}">
      <text>
        <r>
          <rPr>
            <b/>
            <sz val="8"/>
            <color indexed="81"/>
            <rFont val="Tahoma"/>
            <family val="2"/>
          </rPr>
          <t>Indexatie %:</t>
        </r>
        <r>
          <rPr>
            <sz val="8"/>
            <color indexed="81"/>
            <rFont val="Tahoma"/>
            <family val="2"/>
          </rPr>
          <t xml:space="preserve">
U kunt in dit blok een percentage invullen voor de verwachte indexatie (inflatie) van de transport- en opslagkosten van CO₂ </t>
        </r>
      </text>
    </comment>
    <comment ref="B118" authorId="2" shapeId="0" xr:uid="{C0E5D5B5-E5ED-40AA-ABDE-6AB21C8BCC27}">
      <text>
        <r>
          <rPr>
            <b/>
            <sz val="9"/>
            <color indexed="81"/>
            <rFont val="Tahoma"/>
            <family val="2"/>
          </rPr>
          <t xml:space="preserve">Toelichting:
</t>
        </r>
        <r>
          <rPr>
            <sz val="9"/>
            <color indexed="81"/>
            <rFont val="Tahoma"/>
            <family val="2"/>
          </rPr>
          <t xml:space="preserve">De afschrijvingsperiode is in deze exploitatieberekening standaard gelijk aan de economische levensduur van de categorie. Indien de afschrijvingsperiode voor deze productie-installatie korter is, kunt u deze naar beneden aanpassen.    </t>
        </r>
      </text>
    </comment>
    <comment ref="L140" authorId="1" shapeId="0" xr:uid="{306B3295-AB89-4EC2-A889-371D6195B516}">
      <text>
        <r>
          <rPr>
            <b/>
            <sz val="8"/>
            <color indexed="81"/>
            <rFont val="Tahoma"/>
            <family val="2"/>
          </rPr>
          <t>Tarief winstbelasting:</t>
        </r>
        <r>
          <rPr>
            <sz val="8"/>
            <color indexed="81"/>
            <rFont val="Tahoma"/>
            <family val="2"/>
          </rPr>
          <t xml:space="preserve">
Hier vult u het hoge tarief voor de vennootschapsbelasting in, dan wel (als het niet om een rechtspersoon gaat) het tarief in de hoogste schijf voor de inkomstenbelasting. 
Als u niet belastingplichtig bent, stelt u het tarief op 0.</t>
        </r>
      </text>
    </comment>
  </commentList>
</comments>
</file>

<file path=xl/sharedStrings.xml><?xml version="1.0" encoding="utf-8"?>
<sst xmlns="http://schemas.openxmlformats.org/spreadsheetml/2006/main" count="2783" uniqueCount="962">
  <si>
    <t>Algemene instructies</t>
  </si>
  <si>
    <t xml:space="preserve">Handleiding haalbaarheidsstudie SDE++ </t>
  </si>
  <si>
    <t xml:space="preserve">De tabbladen van dit model haalbaarheidsstudie zijn aan elkaar gekoppeld. U vult eerst het tabblad 'Financiering en projectplan' in, daarna het tabblad 'Productie en afzet' en tenslotte het tabblad  'Exploitatieberekening'. </t>
  </si>
  <si>
    <t>Compatibiliteit Excelmodel met Microsoft Windows en andere besturingssystemen</t>
  </si>
  <si>
    <t xml:space="preserve">Dit Excelmodel functioneert het beste in combinatie met Microsoft Windows. Bij gebruik van dit Excelmodel op computers met andere besturingssystemen kunnen (compatiliteits)problemen ontstaan. In dat geval wordt u geadviseerd gebruik te maken van een computer met een Windows besturingssysteem. </t>
  </si>
  <si>
    <t>Instructie per tabblad</t>
  </si>
  <si>
    <t xml:space="preserve">Financiering en projectplan </t>
  </si>
  <si>
    <r>
      <t xml:space="preserve">In het tabblad  'Financiering en projectplan' moet u onderbouwen hoe u </t>
    </r>
    <r>
      <rPr>
        <u/>
        <sz val="10"/>
        <rFont val="Arial"/>
        <family val="2"/>
      </rPr>
      <t>alle productie-installaties</t>
    </r>
    <r>
      <rPr>
        <sz val="10"/>
        <rFont val="Arial"/>
        <family val="2"/>
      </rPr>
      <t xml:space="preserve"> waarvoor u in deze openstellingsronde subsidie aanvraagt gaat financieren. Dit wordt aan u gevraagd om te kunnen toetsen of u als aanvrager al uw aanvragen ook daadwerkelijk kunt realiseren.     </t>
    </r>
  </si>
  <si>
    <t xml:space="preserve">Productie en afzet </t>
  </si>
  <si>
    <r>
      <t xml:space="preserve">In het tabblad  'Productie en afzet' wordt u gevraagd voor de </t>
    </r>
    <r>
      <rPr>
        <u/>
        <sz val="10"/>
        <rFont val="Arial"/>
        <family val="2"/>
      </rPr>
      <t>betreffende aanvraag</t>
    </r>
    <r>
      <rPr>
        <sz val="10"/>
        <rFont val="Arial"/>
        <family val="2"/>
      </rPr>
      <t xml:space="preserve"> een omschrijving van de beoogde productie-installatie te geven met een product- of energieopbrengstberekening. Indien de productie-installatie warmte opwekt, moet u ook een onderbouwing geven van de beoogde toepassing voor warmteafzet.     </t>
    </r>
  </si>
  <si>
    <t>Exploitatieberekening</t>
  </si>
  <si>
    <t>In het tabblad  'Exploitatieberekening' zijn een aantal kentallen reeds ingevuld als u de tabbladen 'Financiering en projectplan' en 'Energieopbrengst en warmteafzet' hebt ingevuld. U vult voor de betreffende aanvraag nog de ontbrekende gegegevens in en het model rekent dan zelf het projectrendement, het rendement op eigen vermogen en de Debt Service Coverage Ratio (DSCR) uit.</t>
  </si>
  <si>
    <t>Exploitatieberekening en leasing</t>
  </si>
  <si>
    <t>Als u als aanvrager een leasemaatschappij bent, vermeldt u onder 'opbrengsten' de exploitatieopbrengsten uit het project. Hier moet u niet de leasetermijnen invullen.</t>
  </si>
  <si>
    <t xml:space="preserve">Onder 'inkopen en bedrijfskosten' vult u de exploitatiekosten voor het project in.  </t>
  </si>
  <si>
    <t>Ingeval van lease (bij vaste leasetermijnen) vult als aflossingsvorm onder het kopje 'Financiering' annuïteit in.</t>
  </si>
  <si>
    <t>Volledigheid haalbaarheidsstudie</t>
  </si>
  <si>
    <t>Vergeet u niet dit model haalbaarheidsstudie volledig in te vullen en alle verplichte bijlagen mee te sturen die bij deze haalbaarheidsstudie horen. Onvolledige aanvragen kunnen niet in behandeling worden genomen.</t>
  </si>
  <si>
    <t xml:space="preserve">Als u de tabbladen 'Financiering en projectplan', 'Productie en afzet' en 'Exploitatieberekening' volledig hebt ingevuld, kunt u in het tabblad 'Overzicht bijlagen' de stukken vinden die u in ieder geval met de haalbaarheidsstudie mee moet sturen bij uw subsidieaanvraag in eloket. </t>
  </si>
  <si>
    <t>Disclaimer</t>
  </si>
  <si>
    <t>Hoewel dit Model haalbaarheidsstudie met de grootst mogelijke zorg is samengesteld kan Rijksdienst voor Ondernemend Nederland geen enkele aansprakelijkheid aanvaarden voor eventuele fouten.</t>
  </si>
  <si>
    <t>Model haalbaarheidsstudie SDE++</t>
  </si>
  <si>
    <t xml:space="preserve">Onderbouwing eigen vermogen en financiering voor alle productie-installaties waarvoor deze aanvrager binnen deze openstellingsronde subsidie aanvraagt </t>
  </si>
  <si>
    <t>Algemene gegevens</t>
  </si>
  <si>
    <t>Naam aanvrager/producent</t>
  </si>
  <si>
    <t>Is de aanvrager producent?</t>
  </si>
  <si>
    <t>Hoe financiert u als aanvrager SDE++ projecten?</t>
  </si>
  <si>
    <t xml:space="preserve">Heeft de aanvrager een jaarrekening?  </t>
  </si>
  <si>
    <t>Voor hoeveel productie-installaties vraagt de aanvrager subsidie aan?</t>
  </si>
  <si>
    <t xml:space="preserve">Overzicht van uw aanvraag of aanvragen binnen deze openstellingsronde  </t>
  </si>
  <si>
    <t>Financieringsplan voor alle productie-installaties waarvoor de aanvrager subsidie aanvraagt</t>
  </si>
  <si>
    <t>Totale investeringen voor alle productie-installaties waarvoor de aanvrager subsidie aanvraagt</t>
  </si>
  <si>
    <t xml:space="preserve">Investeringskosten per productie-installatie (€) </t>
  </si>
  <si>
    <t>Totale investeringskosten</t>
  </si>
  <si>
    <t xml:space="preserve">Eigen vermogen en rentedragende financiering bij balansfinanciering  </t>
  </si>
  <si>
    <t>Tekstvak voor toelichtingen aanvrager</t>
  </si>
  <si>
    <t xml:space="preserve">Productieberekening  </t>
  </si>
  <si>
    <t>Naam aanvrager</t>
  </si>
  <si>
    <t xml:space="preserve">Projectnaam </t>
  </si>
  <si>
    <t>Hoofdthema productie-installaties</t>
  </si>
  <si>
    <t>Indeling subthema's productie-installaties</t>
  </si>
  <si>
    <t>Categorie SDE+</t>
  </si>
  <si>
    <t xml:space="preserve">U hebt gekozen voor de categorie </t>
  </si>
  <si>
    <t>Verwachte productie</t>
  </si>
  <si>
    <t>Aantal vollasturen (uur/jaar)</t>
  </si>
  <si>
    <t>Onderbouwing energie- of productopbrengst</t>
  </si>
  <si>
    <t xml:space="preserve">Onderbouwing aanwending hernieuwbare of koolstofdioxide-arme warmte </t>
  </si>
  <si>
    <t>Onderbouwing warmtelevering aan derden</t>
  </si>
  <si>
    <t>Verklaring van de netbeheerder voor invoeden hernieuwbaar gas</t>
  </si>
  <si>
    <t>Capaciteitsverklaring transport- en opslagpartij voor transport en opslag van CO₂</t>
  </si>
  <si>
    <t>ETS-correctie/Geen ETS-correctie</t>
  </si>
  <si>
    <t>Categorie SDE++</t>
  </si>
  <si>
    <t>Subsidielooptijd (jaar)</t>
  </si>
  <si>
    <t>Investeringen</t>
  </si>
  <si>
    <t xml:space="preserve">Investeringskosten gespecificeerd op hoofdcomponenten (€) </t>
  </si>
  <si>
    <r>
      <t>Totale investeringskosten (€</t>
    </r>
    <r>
      <rPr>
        <b/>
        <sz val="10"/>
        <rFont val="Calibri"/>
        <family val="2"/>
      </rPr>
      <t>)</t>
    </r>
  </si>
  <si>
    <t>Financiering</t>
  </si>
  <si>
    <t>Eigen vermogen (%)</t>
  </si>
  <si>
    <t>Eigen vermogen (€)</t>
  </si>
  <si>
    <t>Vreemd vermogen (%)</t>
  </si>
  <si>
    <t>Vreemd vermogen (€)</t>
  </si>
  <si>
    <t>Eigen vermogen en vreemd vermogen</t>
  </si>
  <si>
    <t>Lening</t>
  </si>
  <si>
    <r>
      <t>Bedrag lening (€</t>
    </r>
    <r>
      <rPr>
        <sz val="10"/>
        <color indexed="8"/>
        <rFont val="Arial"/>
        <family val="2"/>
      </rPr>
      <t>)</t>
    </r>
  </si>
  <si>
    <t>Looptijd lening (jaar)</t>
  </si>
  <si>
    <t>Aflossingsvorm</t>
  </si>
  <si>
    <t xml:space="preserve">Rente lening (%) </t>
  </si>
  <si>
    <t>Kalenderjaar of boekjaar</t>
  </si>
  <si>
    <t>Opbrengsten</t>
  </si>
  <si>
    <t>Prijsindexatie marktwaarde (%)</t>
  </si>
  <si>
    <t>Opbrengsten energie-of productafnemer (€)</t>
  </si>
  <si>
    <t>Indexatie             ETS-prijs (%)</t>
  </si>
  <si>
    <t>Opbrengsten verminderde inkoop of verkoop ETS-rechten (€)</t>
  </si>
  <si>
    <t>Opbrengsten SDE++</t>
  </si>
  <si>
    <t>Indexatie correctie productprijs (%)</t>
  </si>
  <si>
    <t>Indexatie correctie ETS-prijs (%)</t>
  </si>
  <si>
    <t>Overige opbrengsten (€)</t>
  </si>
  <si>
    <t>Overige exploitatiesubsidies (€)</t>
  </si>
  <si>
    <t>Addtionele inkomsten (€)</t>
  </si>
  <si>
    <t>Totaal overige opbrengsten (€)</t>
  </si>
  <si>
    <t>Totale opbrengsten (€)</t>
  </si>
  <si>
    <t>Kosten</t>
  </si>
  <si>
    <t>Operationele kosten (exclusief afschrijving, rente, belasting en biomassa) (€)</t>
  </si>
  <si>
    <t>Garantie en onderhoud</t>
  </si>
  <si>
    <t>Netbeheer</t>
  </si>
  <si>
    <t>Personeelskosten en administratiekosten</t>
  </si>
  <si>
    <t>Administratiekosten</t>
  </si>
  <si>
    <t>Kosten elektriciteitsverbruik van de productieinstallatie</t>
  </si>
  <si>
    <t>Opstalvergoeding (ingeval van activering invullen onder investeringskosten)</t>
  </si>
  <si>
    <t>Monitoringssysteem/telefoon</t>
  </si>
  <si>
    <t>Onroerende zaakbelasting</t>
  </si>
  <si>
    <t>Verzekeringen</t>
  </si>
  <si>
    <t>Reservedelen</t>
  </si>
  <si>
    <t>Afvoerkosten (voor bijvoorbeeld afval)</t>
  </si>
  <si>
    <t>Onvoorzien</t>
  </si>
  <si>
    <t>Overige kosten</t>
  </si>
  <si>
    <t>Soort biomassa of bijproduct</t>
  </si>
  <si>
    <t>ton/jaar</t>
  </si>
  <si>
    <r>
      <rPr>
        <sz val="10"/>
        <rFont val="Calibri"/>
        <family val="2"/>
      </rPr>
      <t>€/</t>
    </r>
    <r>
      <rPr>
        <sz val="10"/>
        <rFont val="Arial"/>
        <family val="2"/>
      </rPr>
      <t>ton</t>
    </r>
  </si>
  <si>
    <t xml:space="preserve">Prijsindexatie % </t>
  </si>
  <si>
    <t>Totale kosten biomassa en bijproducten per jaar (€)</t>
  </si>
  <si>
    <t>Soort kosten</t>
  </si>
  <si>
    <t>Invoeden hub derden</t>
  </si>
  <si>
    <t>Overig</t>
  </si>
  <si>
    <t>Totale kosten CO₂ transport en opslag (€)</t>
  </si>
  <si>
    <t>Totale operationele kosten (€)</t>
  </si>
  <si>
    <t xml:space="preserve">Afschrijvingen </t>
  </si>
  <si>
    <t>Rentelasten annuïteitenlening</t>
  </si>
  <si>
    <t>Aflossingen annuïteitenlening</t>
  </si>
  <si>
    <t>Rentelasten lineaire lening</t>
  </si>
  <si>
    <t>Aflossingen lineaire lening</t>
  </si>
  <si>
    <t>Openstaande leensom lineaire lening</t>
  </si>
  <si>
    <t>jaar looptijd</t>
  </si>
  <si>
    <t>Totale kosten (€)</t>
  </si>
  <si>
    <t>Winst voor belasting (€)</t>
  </si>
  <si>
    <t xml:space="preserve">Overige aftrekbare bedragen (graag toelichten in tekstvak) </t>
  </si>
  <si>
    <t>Toegepaste overige aftrek</t>
  </si>
  <si>
    <t>Nog beschikbare aftrek</t>
  </si>
  <si>
    <t>Verliezen uit verleden</t>
  </si>
  <si>
    <t>Belastbaar inkomen (€)</t>
  </si>
  <si>
    <t>Tarief winstbelasting % invullen afhankelijk van of u IB-plichtig of VPB-plichtig bent</t>
  </si>
  <si>
    <t>Belasting</t>
  </si>
  <si>
    <t>Netto winst (€)</t>
  </si>
  <si>
    <t>Bruto cashflow na belasting exclusief rentelasten (€)</t>
  </si>
  <si>
    <t>Projectrentabiliteit</t>
  </si>
  <si>
    <t>Netto cashflow voor eigen vermogen verschaffer na belasting en na financieringslasten (€)</t>
  </si>
  <si>
    <t>Rendement op eigen vermogen</t>
  </si>
  <si>
    <t>Debt service coverage ratio (DSCR) per jaar</t>
  </si>
  <si>
    <t>Debt service coverage ratio (DSCR)</t>
  </si>
  <si>
    <t>Overzicht bijlagen</t>
  </si>
  <si>
    <t xml:space="preserve">Verplichte bijlagen behorende bij Financiering en projectplan </t>
  </si>
  <si>
    <t>Beschikking investeringssubsidie</t>
  </si>
  <si>
    <t xml:space="preserve">Onderbouwing eigen vermogen aanvrager (in geval van samenwerkingsverband, dan van alle deelnemers)  </t>
  </si>
  <si>
    <t>Gecontracteerd vermogen</t>
  </si>
  <si>
    <t>Gecontracteerde achtergestelde lening</t>
  </si>
  <si>
    <t>Crowdfunding of participaties</t>
  </si>
  <si>
    <t>Onderbouwing financiering</t>
  </si>
  <si>
    <t>Verplichte bijlagen behorende bij Productie en afzet</t>
  </si>
  <si>
    <t>Facultatieve bijlagen voor sterkere haalbaarheidsstudie</t>
  </si>
  <si>
    <t>Onderbouwing investeringskosten</t>
  </si>
  <si>
    <t>Onderbouwing liquiditeit bij grote projecten</t>
  </si>
  <si>
    <t>Thema's hoofdkeuzelijst</t>
  </si>
  <si>
    <t>Hernieuwbare elektriciteit</t>
  </si>
  <si>
    <t>Hernieuwbaar gas</t>
  </si>
  <si>
    <t>CO₂-arme warmte</t>
  </si>
  <si>
    <t>CO₂-arme productie</t>
  </si>
  <si>
    <t>Eerste vervolgkeuzelijst op basis van gekozen hoofdthema</t>
  </si>
  <si>
    <t>Osmose</t>
  </si>
  <si>
    <t>Waterkracht</t>
  </si>
  <si>
    <t>Wind</t>
  </si>
  <si>
    <t>Zon-PV</t>
  </si>
  <si>
    <t>Biomassavergisting (hernieuwbaar gas)</t>
  </si>
  <si>
    <t>Biomassavergassing (hernieuwbaar gas)</t>
  </si>
  <si>
    <t>Biomassaverbranding</t>
  </si>
  <si>
    <t>Biomassavergisting</t>
  </si>
  <si>
    <t>Biomassacompostering</t>
  </si>
  <si>
    <t xml:space="preserve">Geothermie (ultra)diep </t>
  </si>
  <si>
    <t>Zonthermie (geen daglichtkas)</t>
  </si>
  <si>
    <t>Aquathermie (thermische energie uit water met warmtepomp)</t>
  </si>
  <si>
    <t>Zon-PVT systeem met warmtepomp</t>
  </si>
  <si>
    <t>Daglichtkas (zonthermie met aquifer en warmtepomp)</t>
  </si>
  <si>
    <t>Geothermie (on)diep met warmtepomp</t>
  </si>
  <si>
    <t>Grootschalige elektrische boiler</t>
  </si>
  <si>
    <t>Industriële warmtepompen</t>
  </si>
  <si>
    <t>Restwarmtebenutting</t>
  </si>
  <si>
    <t>Waterstof door elektrolyse</t>
  </si>
  <si>
    <t>Geavanceerde hernieuwbare transportbrandstoffen (vloeibaar gas, benzine- en dieselvervangers)</t>
  </si>
  <si>
    <r>
      <t>CO</t>
    </r>
    <r>
      <rPr>
        <sz val="10"/>
        <rFont val="Calibri"/>
        <family val="2"/>
      </rPr>
      <t>₂</t>
    </r>
    <r>
      <rPr>
        <sz val="10"/>
        <rFont val="Arial"/>
        <family val="2"/>
      </rPr>
      <t>-afvang en opslag (CCS) met gasvormig transport, ETS-bedrijf</t>
    </r>
  </si>
  <si>
    <t>CO₂-afvang en opslag (CCS) met gasvormig transport, niet-ETS-bedrijf</t>
  </si>
  <si>
    <r>
      <t>CO</t>
    </r>
    <r>
      <rPr>
        <sz val="10"/>
        <rFont val="Calibri"/>
        <family val="2"/>
      </rPr>
      <t>₂</t>
    </r>
    <r>
      <rPr>
        <sz val="10"/>
        <rFont val="Arial"/>
        <family val="2"/>
      </rPr>
      <t>-afvang en opslag (CCS) met vloeibaar transport, ETS-bedrijf</t>
    </r>
  </si>
  <si>
    <t>CO₂-afvang en opslag (CCS) met vloeibaar transport, niet-ETS-bedrijf</t>
  </si>
  <si>
    <t>CO₂-afvang en hergebruik (CCU), gasvormig (bestaande transportleiding)</t>
  </si>
  <si>
    <t>CO₂-afvang en hergebruik (CCU), gasvormig, nieuwe transportleiding</t>
  </si>
  <si>
    <t>CO₂-afvang en hergebruik (CCU), vloeibaar/vloeibaar transport</t>
  </si>
  <si>
    <t>Tweede vervolgkeuzelijst op basis van gekozen subthema</t>
  </si>
  <si>
    <t>Categorieën productie-installaties</t>
  </si>
  <si>
    <t>Maximum basisbedrag (fase 5)</t>
  </si>
  <si>
    <t xml:space="preserve">Basisprijs </t>
  </si>
  <si>
    <t>Emissie-factor</t>
  </si>
  <si>
    <t>Subsidieintensiteit bij basisbedrag</t>
  </si>
  <si>
    <t>Maximum vollasturen</t>
  </si>
  <si>
    <t>Subsidielooptijd</t>
  </si>
  <si>
    <t>Maximum fasebedrag (met aftopping op basisbedrag)</t>
  </si>
  <si>
    <t>Teksten voor vermogen en productie op tabblad Productie_en_afzet</t>
  </si>
  <si>
    <t>Hulpveld voor tekstblok voor onderbouwing energie-of productopbrengst</t>
  </si>
  <si>
    <t xml:space="preserve">Hulpveld type product </t>
  </si>
  <si>
    <t>Type bijlage opbrengstberekening voor tabblad bijlagen</t>
  </si>
  <si>
    <t>Eenheid product</t>
  </si>
  <si>
    <t>Extra attenderingen</t>
  </si>
  <si>
    <t>Basisprijs generiek (bij zon-PV netlevering)</t>
  </si>
  <si>
    <t>Correctiebedrag generiek (bij zon-PV netlevering) incl. waarde GVO</t>
  </si>
  <si>
    <t>(toegepaste GVO-of HBE-waarde)</t>
  </si>
  <si>
    <t>ETS (euro/ton CO2), bij WKK naar rato warmtedeel o.b.v. WK-factor</t>
  </si>
  <si>
    <t>Allesvergisting, gecombineerde opwekking</t>
  </si>
  <si>
    <t>Productie elektriciteit (kWh/jaar)</t>
  </si>
  <si>
    <t>Productie warmte (kWh/jaar)</t>
  </si>
  <si>
    <t>Vermogen productie-installatie (kW)</t>
  </si>
  <si>
    <t>Totale productie (kWh/jaar)</t>
  </si>
  <si>
    <t>Subsidiabele productie (kWh/jaar)</t>
  </si>
  <si>
    <t>Biomassa</t>
  </si>
  <si>
    <t>Gecombineerde opwekking</t>
  </si>
  <si>
    <t>Voeg een biomassa energieopbrengstberekening toe</t>
  </si>
  <si>
    <t>kWh</t>
  </si>
  <si>
    <t>RWZI verbeterde slibgisting, gecombineerde opwekking</t>
  </si>
  <si>
    <t>RWZI, verbeterde slibgisting</t>
  </si>
  <si>
    <t>Allesvergisting, warmte</t>
  </si>
  <si>
    <t>Warmte</t>
  </si>
  <si>
    <t>RWZI verbeterde slibgisting, warmte</t>
  </si>
  <si>
    <t>Warmte uit compostering ≥ 0,5 MWth</t>
  </si>
  <si>
    <t>Voor deze categorie geldt dat de ingezette brandstof voor ten minste 97% van de energetische waarde biogeen is!</t>
  </si>
  <si>
    <t>Allesvergisting, hernieuwbaar gas</t>
  </si>
  <si>
    <t>Productie gas (kWh/jaar)</t>
  </si>
  <si>
    <t>RWZI verbeterde slibgisting, hernieuwbaar gas</t>
  </si>
  <si>
    <t>Biomassavergassing (inclusief B-hout)</t>
  </si>
  <si>
    <t>Biomassavergassing (exclusief B-hout)</t>
  </si>
  <si>
    <t>Voor deze categorie gelden duurzaamheidseisen voor de ingezette biomassa!</t>
  </si>
  <si>
    <t xml:space="preserve">Kleine ketel op vaste of vloeibare biomassa ≥ 0,5 MWth en &lt; 5 MWth </t>
  </si>
  <si>
    <t>Biomassa, extra eisen</t>
  </si>
  <si>
    <t>Grote ketel op vaste of vloeibare biomassa ≥ 5 MWth, 4500 vollasturen</t>
  </si>
  <si>
    <t>Grote ketel op vaste of vloeibare biomassa ≥ 5 MWth, 5000 vollasturen</t>
  </si>
  <si>
    <t>Grote ketel op vaste of vloeibare biomassa ≥ 5 MWth, 5500 vollasturen</t>
  </si>
  <si>
    <t>Grote ketel op vaste of vloeibare biomassa ≥ 5 MWth, 6000 vollasturen</t>
  </si>
  <si>
    <t>Grote ketel op vaste of vloeibare biomassa ≥ 5 MWth, 6500 vollasturen</t>
  </si>
  <si>
    <t>Grote ketel op vaste of vloeibare biomassa ≥ 5 MWth, 7000 vollasturen</t>
  </si>
  <si>
    <t>Grote ketel op vaste of vloeibare biomassa ≥ 5 MWth, 7500 vollasturen</t>
  </si>
  <si>
    <t>Grote ketel op vaste of vloeibare biomassa ≥ 5 MWth, 8000 vollasturen</t>
  </si>
  <si>
    <t>Grote ketel op vaste of vloeibare biomassa ≥ 5 MWth, 8500 vollasturen</t>
  </si>
  <si>
    <r>
      <t xml:space="preserve">Ketel op vaste of vloeibare biomassa inclusief B-hout </t>
    </r>
    <r>
      <rPr>
        <sz val="10"/>
        <rFont val="Calibri"/>
        <family val="2"/>
      </rPr>
      <t>≥</t>
    </r>
    <r>
      <rPr>
        <sz val="10"/>
        <rFont val="Arial"/>
        <family val="2"/>
      </rPr>
      <t xml:space="preserve"> 5 MWth</t>
    </r>
  </si>
  <si>
    <t>De ingezette brandstof moet voor ten minste 97% van de energetische waarde biogeen zijn! Daarnaast gelden duurzaamheidseisen voor de ingezette biomassa!</t>
  </si>
  <si>
    <t>Geothermie warmte</t>
  </si>
  <si>
    <t>Ondiepe geothermie (6000 vollasturen)</t>
  </si>
  <si>
    <t>Geothermie met warmtepomp</t>
  </si>
  <si>
    <t>Voeg een geologisch onderzoek en een energieopbrengstberekening toe</t>
  </si>
  <si>
    <t xml:space="preserve">Voor deze categorie geldt een minimale COP-eis voor de warmtepomp! </t>
  </si>
  <si>
    <t>Ondiepe geothermie, verwarming gebouwde omgeving (3500 vollasturen)</t>
  </si>
  <si>
    <t xml:space="preserve">Voor deze categorie geldt een minimale COP-eis voor de warmtepomp en dat warmte uitsluitend wordt geleverd aan gebouwde omgeving! </t>
  </si>
  <si>
    <t>Diepe geothermie met warmtepomp, verwarming gebouwde omgeving (6000 vollasturen)</t>
  </si>
  <si>
    <t>Diepe geothermie &lt; 12 MWth (6000 vollasturen)</t>
  </si>
  <si>
    <t>Geothermie zonder warmtepomp</t>
  </si>
  <si>
    <t>Diepe geothermie ≥ 12 MWth &lt; 20 MWth (6000 vollasturen)</t>
  </si>
  <si>
    <r>
      <t xml:space="preserve">Diepe geothermie </t>
    </r>
    <r>
      <rPr>
        <sz val="10"/>
        <rFont val="Calibri"/>
        <family val="2"/>
      </rPr>
      <t>≥</t>
    </r>
    <r>
      <rPr>
        <sz val="10"/>
        <rFont val="Arial"/>
        <family val="2"/>
      </rPr>
      <t xml:space="preserve"> 20 MWth (6000 vollasturen)</t>
    </r>
  </si>
  <si>
    <t>Diepe geothermie &lt; 12 MWth, ombouw van bestaande olie- en/of gasputten (6000 vollasturen)</t>
  </si>
  <si>
    <t>Diepe geothermie ≥ 12 MWth en &lt; 20 MWth, ombouw van bestaande olie- en/of gasputten (6000 vollasturen)</t>
  </si>
  <si>
    <r>
      <t xml:space="preserve">Diepe geothermie </t>
    </r>
    <r>
      <rPr>
        <sz val="10"/>
        <rFont val="Calibri"/>
        <family val="2"/>
      </rPr>
      <t>≥</t>
    </r>
    <r>
      <rPr>
        <sz val="10"/>
        <rFont val="Arial"/>
        <family val="2"/>
      </rPr>
      <t xml:space="preserve"> 20 MWth, basislast, ombouw van bestaande olie- en/of gasputten (6000 vollasturen)</t>
    </r>
  </si>
  <si>
    <t>Diepe geothermie, verwarming gebouwde omgeving (3500 vollasturen)</t>
  </si>
  <si>
    <t xml:space="preserve">Voor deze categorie geldt dat warmte uitsluitend wordt geleverd aan gebouwde omgeving! </t>
  </si>
  <si>
    <t>Diepe geothermie, verwarming gebouwde omgeving (5000 vollasturen)</t>
  </si>
  <si>
    <t>Diepe geothermie, uitbreiding productie-installatie met tenminste één aanvullende put (6000 vollasturen)</t>
  </si>
  <si>
    <t>Ultradiepe geothermie (7000 vollasturen)</t>
  </si>
  <si>
    <t/>
  </si>
  <si>
    <t>Water elektriciteit</t>
  </si>
  <si>
    <t>Waterkracht nieuw, verval &lt; 50 cm (waaronder vrije stromingsenergie en golfenergie)</t>
  </si>
  <si>
    <t>Elektriciteit uit water</t>
  </si>
  <si>
    <t>Elektriciteit</t>
  </si>
  <si>
    <t>Voeg een waterenergieopbrengstberekening toe</t>
  </si>
  <si>
    <t>Waterkracht nieuw, verval ≥ 50 cm</t>
  </si>
  <si>
    <t>Water warmte</t>
  </si>
  <si>
    <t>Voeg een energieopbrengstberekening toe</t>
  </si>
  <si>
    <t xml:space="preserve">Voor deze categorie geldt dat er seizoensopslag van warmte aanwezig is, een minimale COP-eis voor de warmtepomp en dat warmte uitsluitend wordt geleverd aan gebouwde omgeving!  </t>
  </si>
  <si>
    <t xml:space="preserve">Voor deze categorie geldt een minimale COP-eis voor de warmtepomp en dat warmte uitsluitend wordt geleverd aan gebouwde omgeving!  </t>
  </si>
  <si>
    <t>Wind op land ≥ 8,5 m/s</t>
  </si>
  <si>
    <t>Wind overig</t>
  </si>
  <si>
    <t>Voeg een windenergieopbrengstberekening toe</t>
  </si>
  <si>
    <t>Wind op land ≥ 8,0 en &lt; 8,5 m/s</t>
  </si>
  <si>
    <t>Wind op land ≥ 7,5 en &lt; 8,0 m/s</t>
  </si>
  <si>
    <t>Wind op land ≥ 7,0 en &lt; 7,5 m/s</t>
  </si>
  <si>
    <t>Wind op land ≥ 6,75 en &lt; 7,0 m/s</t>
  </si>
  <si>
    <t>Wind op land &lt; 6,75 m/s</t>
  </si>
  <si>
    <t>Wind op land, hoogtebeperkt ≥ 8,5 m/s</t>
  </si>
  <si>
    <t>Wind hoogtebeperkt</t>
  </si>
  <si>
    <t>Voeg een windenergieopbrengstberekening en een onderbouwing van de hoogtebeperking toe</t>
  </si>
  <si>
    <t>Wind op land, hoogtebeperkt ≥ 8,0 en &lt; 8,5 m/s</t>
  </si>
  <si>
    <t>Wind op land, hoogtebeperkt ≥ 7,5 en &lt; 8,0 m/s</t>
  </si>
  <si>
    <t>Wind op land, hoogtebeperkt ≥ 7,0 en &lt; 7,5 m/s</t>
  </si>
  <si>
    <t>Wind op land, hoogtebeperkt ≥ 6,75 en &lt; 7,0 m/s</t>
  </si>
  <si>
    <t>Wind op land, hoogtebeperkt &lt; 6,75 m/s</t>
  </si>
  <si>
    <t>Wind op waterkering ≥ 8,5 m/s</t>
  </si>
  <si>
    <t>Wind op waterkering ≥ 8,0 en &lt; 8,5 m/s</t>
  </si>
  <si>
    <t>Wind op waterkering ≥ 7,5 en &lt; 8,0 m/s</t>
  </si>
  <si>
    <t>Wind op waterkering ≥ 7,0 en &lt; 7,5 m/s</t>
  </si>
  <si>
    <t>Wind op waterkering ≥ 6,75 en &lt; 7,0 m/s</t>
  </si>
  <si>
    <t>Wind op waterkering &lt; 6,75 m/s</t>
  </si>
  <si>
    <t>Zon elektriciteit</t>
  </si>
  <si>
    <t xml:space="preserve">Gebouwgebonden Zon-PV </t>
  </si>
  <si>
    <t xml:space="preserve">Voeg een gedetailleerde tekening op schaal toe waarop de aangevraagde Zon-PV-installatie nauwkeurig is ingetekend. </t>
  </si>
  <si>
    <t xml:space="preserve">Voor deze categorie geldt dat een project een gecontracteerd terugleververmogen van de netaansluiting voor de productie-installatie van maximaal 50% van het piekvermogen van de zonnepanelen mag hebben. </t>
  </si>
  <si>
    <t>Drijvende zon-PV-installatie</t>
  </si>
  <si>
    <t>Grondgebonden zon-PV-installatie</t>
  </si>
  <si>
    <t>Zon-PV met zonvolgsysteem</t>
  </si>
  <si>
    <t>Voeg een gedetailleerde tekening op schaal waarop de aangevraagde Zon-PV-installatie nauwkeurig is ingetekend en een zonne-energieopbrengstberekening toe.</t>
  </si>
  <si>
    <t>Zon-PV ≥ 1 MWp, zonvolgend op water</t>
  </si>
  <si>
    <t>Zon warmte</t>
  </si>
  <si>
    <t>Zonthermie ≥ 140 kW en &lt; 1 MW</t>
  </si>
  <si>
    <t>Zonthermie</t>
  </si>
  <si>
    <r>
      <t xml:space="preserve">Zonthermie </t>
    </r>
    <r>
      <rPr>
        <sz val="10"/>
        <rFont val="Calibri"/>
        <family val="2"/>
      </rPr>
      <t>≥</t>
    </r>
    <r>
      <rPr>
        <sz val="10"/>
        <rFont val="Arial"/>
        <family val="2"/>
      </rPr>
      <t xml:space="preserve"> 1 MW</t>
    </r>
  </si>
  <si>
    <t>Daglichtkas</t>
  </si>
  <si>
    <t xml:space="preserve">Voor deze categorie geldt een minimale COP-eis voor de warmtepomp en dat de productie-installatie niet wordt gebruikt voor koudelevering! </t>
  </si>
  <si>
    <t>CO2-afvang en opslag (CCS) met gasvormig transport ETS-bedrijf</t>
  </si>
  <si>
    <t>Productie afvang en opslag CO₂ (ton/jaar)</t>
  </si>
  <si>
    <r>
      <t>Capaciteit afvanginstallatie CO</t>
    </r>
    <r>
      <rPr>
        <sz val="10"/>
        <rFont val="Calibri"/>
        <family val="2"/>
      </rPr>
      <t>₂ (ton/uur</t>
    </r>
    <r>
      <rPr>
        <sz val="10"/>
        <rFont val="Arial"/>
        <family val="2"/>
      </rPr>
      <t>)</t>
    </r>
  </si>
  <si>
    <r>
      <t>Totale productie CO</t>
    </r>
    <r>
      <rPr>
        <sz val="10"/>
        <rFont val="Calibri"/>
        <family val="2"/>
      </rPr>
      <t>₂</t>
    </r>
    <r>
      <rPr>
        <sz val="10"/>
        <rFont val="Arial"/>
        <family val="2"/>
      </rPr>
      <t xml:space="preserve"> (ton/jaar)</t>
    </r>
  </si>
  <si>
    <t>Subsidiabele productie CO₂ (ton/jaar)</t>
  </si>
  <si>
    <t>CO2 afvang en opslag (CCS)</t>
  </si>
  <si>
    <r>
      <t>CO</t>
    </r>
    <r>
      <rPr>
        <sz val="10"/>
        <rFont val="Calibri"/>
        <family val="2"/>
      </rPr>
      <t>₂</t>
    </r>
    <r>
      <rPr>
        <sz val="10"/>
        <rFont val="Arial"/>
        <family val="2"/>
      </rPr>
      <t>-opslag</t>
    </r>
  </si>
  <si>
    <r>
      <t>ton CO</t>
    </r>
    <r>
      <rPr>
        <sz val="10"/>
        <rFont val="Calibri"/>
        <family val="2"/>
      </rPr>
      <t>₂</t>
    </r>
  </si>
  <si>
    <r>
      <t>CCS - Volledige CO</t>
    </r>
    <r>
      <rPr>
        <sz val="10"/>
        <rFont val="Calibri"/>
        <family val="2"/>
      </rPr>
      <t>₂</t>
    </r>
    <r>
      <rPr>
        <sz val="10"/>
        <rFont val="Arial"/>
        <family val="2"/>
      </rPr>
      <t>-opslag bij bestaande installaties, gasvormig transport (PBL variant 2A)</t>
    </r>
  </si>
  <si>
    <r>
      <t>CCS - Nieuwe pre-combustion CO</t>
    </r>
    <r>
      <rPr>
        <sz val="10"/>
        <rFont val="Calibri"/>
        <family val="2"/>
      </rPr>
      <t>₂</t>
    </r>
    <r>
      <rPr>
        <sz val="10"/>
        <rFont val="Arial"/>
        <family val="2"/>
      </rPr>
      <t>-afvang bij waterstofproductie uit restgassen voor ondervuring, gasvormig transport (PBL variant 4A)</t>
    </r>
  </si>
  <si>
    <t>CO2 afvang en opslag (CCS) met productie waterstof voor ondervuring</t>
  </si>
  <si>
    <r>
      <t>CCS - Nieuwe post-combustion CO</t>
    </r>
    <r>
      <rPr>
        <sz val="10"/>
        <rFont val="Calibri"/>
        <family val="2"/>
      </rPr>
      <t>₂</t>
    </r>
    <r>
      <rPr>
        <sz val="10"/>
        <rFont val="Arial"/>
        <family val="2"/>
      </rPr>
      <t>-afvang, bestaande installatie, gasvormig transport (PBL variant 5A)</t>
    </r>
  </si>
  <si>
    <r>
      <t>CCS - Nieuwe post-combustion CO</t>
    </r>
    <r>
      <rPr>
        <sz val="10"/>
        <rFont val="Calibri"/>
        <family val="2"/>
      </rPr>
      <t>₂</t>
    </r>
    <r>
      <rPr>
        <sz val="10"/>
        <rFont val="Arial"/>
        <family val="2"/>
      </rPr>
      <t>-afvang, nieuwe installatie, gasvormig transport (PBL variant 8A)</t>
    </r>
  </si>
  <si>
    <t>CO2-afvang en opslag (CCS) met gasvormig transport niet-ETS-bedrijf</t>
  </si>
  <si>
    <t>Capaciteit afvanginstallatie CO₂ (ton/uur)</t>
  </si>
  <si>
    <r>
      <t>CCS - Volledige CO</t>
    </r>
    <r>
      <rPr>
        <sz val="10"/>
        <rFont val="Calibri"/>
        <family val="2"/>
      </rPr>
      <t>₂</t>
    </r>
    <r>
      <rPr>
        <sz val="10"/>
        <rFont val="Arial"/>
        <family val="2"/>
      </rPr>
      <t>-opslag bij bestaande installaties niet-ETS-bedrijf, gasvormig transport (PBL variant 2A)</t>
    </r>
  </si>
  <si>
    <r>
      <t>CCS - Nieuwe pre-combustion CO</t>
    </r>
    <r>
      <rPr>
        <sz val="10"/>
        <rFont val="Calibri"/>
        <family val="2"/>
      </rPr>
      <t>₂</t>
    </r>
    <r>
      <rPr>
        <sz val="10"/>
        <rFont val="Arial"/>
        <family val="2"/>
      </rPr>
      <t>-afvang bij waterstofproductie uit restgassen voor ondervuring niet-ETS-bedrijf, gasvormig transport (PBL variant 4A)</t>
    </r>
  </si>
  <si>
    <r>
      <t>CCS - Nieuwe post-combustion CO</t>
    </r>
    <r>
      <rPr>
        <sz val="10"/>
        <rFont val="Calibri"/>
        <family val="2"/>
      </rPr>
      <t>₂</t>
    </r>
    <r>
      <rPr>
        <sz val="10"/>
        <rFont val="Arial"/>
        <family val="2"/>
      </rPr>
      <t>-afvang niet-ETS-bedrijf, bestaande installatie, gasvormig transport (PBL variant 5A)</t>
    </r>
  </si>
  <si>
    <r>
      <t>CCS - Nieuwe post-combustion CO</t>
    </r>
    <r>
      <rPr>
        <sz val="10"/>
        <rFont val="Calibri"/>
        <family val="2"/>
      </rPr>
      <t>₂</t>
    </r>
    <r>
      <rPr>
        <sz val="10"/>
        <rFont val="Arial"/>
        <family val="2"/>
      </rPr>
      <t>-afvang, nieuwe installatie niet-ETS-bedrijf, gasvormig transport (PBL variant 8A)</t>
    </r>
  </si>
  <si>
    <t>CO2-afvang en opslag (CCS) met vloeibaar transport ETS-bedrijf</t>
  </si>
  <si>
    <r>
      <t>CCS - Volledige CO</t>
    </r>
    <r>
      <rPr>
        <sz val="10"/>
        <rFont val="Calibri"/>
        <family val="2"/>
      </rPr>
      <t>₂</t>
    </r>
    <r>
      <rPr>
        <sz val="10"/>
        <rFont val="Arial"/>
        <family val="2"/>
      </rPr>
      <t>-opslag bij bestaande installaties, vloeibaar transport, nieuwe vervloeiingsinstallatie (PBL variant 2B)</t>
    </r>
  </si>
  <si>
    <r>
      <t>CCS - Nieuwe pre-combustion CO</t>
    </r>
    <r>
      <rPr>
        <sz val="10"/>
        <rFont val="Calibri"/>
        <family val="2"/>
      </rPr>
      <t>₂</t>
    </r>
    <r>
      <rPr>
        <sz val="10"/>
        <rFont val="Arial"/>
        <family val="2"/>
      </rPr>
      <t>-afvang bij waterstofproductie uit restgassen voor ondervuring, vloeibaar transport, nieuwe vervloeiingsinstallatie (PBL variant 4B)</t>
    </r>
  </si>
  <si>
    <r>
      <t>CCS - Nieuwe post-combustion CO</t>
    </r>
    <r>
      <rPr>
        <sz val="10"/>
        <rFont val="Calibri"/>
        <family val="2"/>
      </rPr>
      <t>₂-</t>
    </r>
    <r>
      <rPr>
        <sz val="10"/>
        <rFont val="Arial"/>
        <family val="2"/>
      </rPr>
      <t>afvang, bestaande installatie, vloeibaar transport, nieuwe vervloeiingsinstallatie (PBL variant 5B)</t>
    </r>
  </si>
  <si>
    <r>
      <t>CCS - Nieuwe post-combustion CO</t>
    </r>
    <r>
      <rPr>
        <sz val="10"/>
        <rFont val="Calibri"/>
        <family val="2"/>
      </rPr>
      <t>₂</t>
    </r>
    <r>
      <rPr>
        <sz val="10"/>
        <rFont val="Arial"/>
        <family val="2"/>
      </rPr>
      <t>-afvang, nieuwe installatie, vloeibaar transport, nieuwe vervloeiingsinstallatie (PBL variant 8B)</t>
    </r>
  </si>
  <si>
    <t>CO2-afvang en opslag (CCS) met vloeibaar transport niet-ETS-bedrijf</t>
  </si>
  <si>
    <r>
      <t>CCS - Volledige CO</t>
    </r>
    <r>
      <rPr>
        <sz val="10"/>
        <rFont val="Calibri"/>
        <family val="2"/>
      </rPr>
      <t>₂</t>
    </r>
    <r>
      <rPr>
        <sz val="10"/>
        <rFont val="Arial"/>
        <family val="2"/>
      </rPr>
      <t>-opslag bij bestaande installaties niet-ETS-bedrijf, vloeibaar transport, nieuwe vervloeiingsinstallatie (PBL variant 2B)</t>
    </r>
  </si>
  <si>
    <r>
      <t>CCS - Nieuwe pre-combustion CO</t>
    </r>
    <r>
      <rPr>
        <sz val="10"/>
        <rFont val="Calibri"/>
        <family val="2"/>
      </rPr>
      <t>₂</t>
    </r>
    <r>
      <rPr>
        <sz val="10"/>
        <rFont val="Arial"/>
        <family val="2"/>
      </rPr>
      <t>-afvang bij waterstofproductie uit restgassen voor ondervuring niet-ETS-bedrijf, vloeibaar transport, nieuwe vervloeiingsinstallatie (PBL variant 4B)</t>
    </r>
  </si>
  <si>
    <r>
      <t>CCS - Nieuwe post-combustion CO</t>
    </r>
    <r>
      <rPr>
        <sz val="10"/>
        <rFont val="Calibri"/>
        <family val="2"/>
      </rPr>
      <t>₂</t>
    </r>
    <r>
      <rPr>
        <sz val="10"/>
        <rFont val="Arial"/>
        <family val="2"/>
      </rPr>
      <t>-afvang, bestaande installatie niet-ETS-bedrijf, vloeibaar transport, nieuwe vervloeiingsinstallatie (PBL variant 5B)</t>
    </r>
  </si>
  <si>
    <r>
      <t>CCS - Nieuwe post-combustion CO</t>
    </r>
    <r>
      <rPr>
        <sz val="10"/>
        <rFont val="Calibri"/>
        <family val="2"/>
      </rPr>
      <t>₂</t>
    </r>
    <r>
      <rPr>
        <sz val="10"/>
        <rFont val="Arial"/>
        <family val="2"/>
      </rPr>
      <t>-afvang, nieuwe installatie niet-ETS-bedrijf, vloeibaar transport, nieuwe vervloeiingsinstallatie (variant 8B)</t>
    </r>
  </si>
  <si>
    <t>CO2-afvang en hergebruik (CCU), gasvormig/gasvormig transport</t>
  </si>
  <si>
    <t>Productie afvang en hergebruik CO₂ (ton/jaar)</t>
  </si>
  <si>
    <t>CO2 afvang en hergebruik (CCU)</t>
  </si>
  <si>
    <r>
      <t>CO</t>
    </r>
    <r>
      <rPr>
        <sz val="10"/>
        <rFont val="Calibri"/>
        <family val="2"/>
      </rPr>
      <t>₂</t>
    </r>
    <r>
      <rPr>
        <sz val="10"/>
        <rFont val="Arial"/>
        <family val="2"/>
      </rPr>
      <t>-hergebruik</t>
    </r>
  </si>
  <si>
    <r>
      <t>Voeg een berekening voor CO</t>
    </r>
    <r>
      <rPr>
        <sz val="10"/>
        <rFont val="Calibri"/>
        <family val="2"/>
      </rPr>
      <t>₂</t>
    </r>
    <r>
      <rPr>
        <sz val="10"/>
        <rFont val="Arial"/>
        <family val="2"/>
      </rPr>
      <t xml:space="preserve"> afvang- en levering en een toelichting voor de beoogde infrastructuur toe</t>
    </r>
  </si>
  <si>
    <r>
      <t>CCU - Nieuwe post-combustion CO</t>
    </r>
    <r>
      <rPr>
        <sz val="10"/>
        <rFont val="Calibri"/>
        <family val="2"/>
      </rPr>
      <t>₂</t>
    </r>
    <r>
      <rPr>
        <sz val="10"/>
        <rFont val="Arial"/>
        <family val="2"/>
      </rPr>
      <t>-afvang bij bestaande installatie, gasvormig transport (bestaande) transportleiding (PBL variant 4A)</t>
    </r>
  </si>
  <si>
    <r>
      <t>CCU - Nieuwe post-combustion CO</t>
    </r>
    <r>
      <rPr>
        <sz val="10"/>
        <rFont val="Calibri"/>
        <family val="2"/>
      </rPr>
      <t>₂</t>
    </r>
    <r>
      <rPr>
        <sz val="10"/>
        <rFont val="Arial"/>
        <family val="2"/>
      </rPr>
      <t>-afvang bij nieuwe installatie, gasvormig transport (bestaande) transportleiding (PBL variant 5A)</t>
    </r>
  </si>
  <si>
    <t>CO2-afvang en hergebruik (CCU), gasvormig transport nieuwe pijpleiding</t>
  </si>
  <si>
    <r>
      <t>CCU - Nieuwe post-combustion CO</t>
    </r>
    <r>
      <rPr>
        <sz val="10"/>
        <rFont val="Calibri"/>
        <family val="2"/>
      </rPr>
      <t>₂</t>
    </r>
    <r>
      <rPr>
        <sz val="10"/>
        <rFont val="Arial"/>
        <family val="2"/>
      </rPr>
      <t>-afvang bij bestaande installatie, gasvormig transport, nieuwe transportleiding (PBL variant 4B)</t>
    </r>
  </si>
  <si>
    <r>
      <t>CCU - Nieuwe post-combustion CO</t>
    </r>
    <r>
      <rPr>
        <sz val="10"/>
        <rFont val="Calibri"/>
        <family val="2"/>
      </rPr>
      <t>₂</t>
    </r>
    <r>
      <rPr>
        <sz val="10"/>
        <rFont val="Arial"/>
        <family val="2"/>
      </rPr>
      <t>-afvang bij nieuwe installatie, gasvormig transport, nieuwe transportleiding (PBL variant 5B)</t>
    </r>
  </si>
  <si>
    <t>CO2-afvang en hergebruik (CCU), vloeibaar/vloeibaar transport</t>
  </si>
  <si>
    <r>
      <t>Extra CCU - Bestaande CO</t>
    </r>
    <r>
      <rPr>
        <sz val="10"/>
        <rFont val="Calibri"/>
        <family val="2"/>
      </rPr>
      <t>₂</t>
    </r>
    <r>
      <rPr>
        <sz val="10"/>
        <rFont val="Arial"/>
        <family val="2"/>
      </rPr>
      <t>-afvang bij bestaande installatie, vloeibaar transport, nieuwe vervloeiingsinstallatie (PBL variant 2C)</t>
    </r>
  </si>
  <si>
    <r>
      <t>CCU - Nieuwe post-combustion CO</t>
    </r>
    <r>
      <rPr>
        <sz val="10"/>
        <rFont val="Calibri"/>
        <family val="2"/>
      </rPr>
      <t>₂</t>
    </r>
    <r>
      <rPr>
        <sz val="10"/>
        <rFont val="Arial"/>
        <family val="2"/>
      </rPr>
      <t>-afvang bij bestaande installatie, vloeibaar transport, nieuwe vervloeiingsinstallatie (PBL variant 4C)</t>
    </r>
  </si>
  <si>
    <r>
      <t>CCU - Nieuwe post-combustion CO</t>
    </r>
    <r>
      <rPr>
        <sz val="10"/>
        <rFont val="Calibri"/>
        <family val="2"/>
      </rPr>
      <t>₂</t>
    </r>
    <r>
      <rPr>
        <sz val="10"/>
        <rFont val="Arial"/>
        <family val="2"/>
      </rPr>
      <t>-afvang bij nieuwe installatie, vloeibaar transport, nieuwe vervloeiingsinstallatie (PBL variant 5C)</t>
    </r>
  </si>
  <si>
    <t>Industriële gesloten warmtepomp (8000 vollasturen)</t>
  </si>
  <si>
    <t>Warmtepomp gesloten</t>
  </si>
  <si>
    <t xml:space="preserve">Voor deze categorie geldt een minimale COP eis voor de warmtepomp! </t>
  </si>
  <si>
    <t>Industriële gesloten warmtepomp (3000 vollasturen)</t>
  </si>
  <si>
    <t>Voor deze categorie geldt een minimale COP eis voor de warmtepomp. En naast een maximum aantal van 3000 subsidiabele vollasturen per jaar geldt een maximum van 4.000 productie-uren (bedrijfsuren) per jaar!</t>
  </si>
  <si>
    <t>Industriële open warmtepomp (8000 vollasturen)</t>
  </si>
  <si>
    <t>Warmtepomp open</t>
  </si>
  <si>
    <t xml:space="preserve">Voor deze categorie geldt een minimale en maximale COP eis voor de warmtepomp! </t>
  </si>
  <si>
    <t>Industriële open warmtepomp (3000 vollasturen)</t>
  </si>
  <si>
    <t>Voor deze categorie geldt een minimale en maximale COP eis voor de warmtepomp! En naast een maximum aantal van 3000 subsidiabele vollasturen per jaar geldt een maximum van 4.000 productie-uren (bedrijfsuren) per jaar!</t>
  </si>
  <si>
    <t>Restwarmte zonder warmtepomp</t>
  </si>
  <si>
    <t>Voeg een energieopbrengstberekening en een plattegrond van het beoogde leidingtracé toe</t>
  </si>
  <si>
    <t>Restwarmtebenutting (zonder warmtepomp), transportleiding ≥ 0,20 en &lt; 0,30 km/MWth</t>
  </si>
  <si>
    <t>Restwarmtebenutting (zonder warmtepomp), transportleiding ≥ 0,30 en &lt; 0,40 km/MWth</t>
  </si>
  <si>
    <t>Benutting restwarmte (zonder warmtepomp), transportleiding ≥ 0,40 km/MWth</t>
  </si>
  <si>
    <t>Restwarmtebenutting met warmtepomp, transportleiding ≥ 0,10 en &lt; 0,20 km/MWth</t>
  </si>
  <si>
    <t>Restwarmte met warmtepomp</t>
  </si>
  <si>
    <t>Restwarmtebenutting met warmtepomp, transportleiding ≥ 0,20 en &lt; 0,30 km/MWth</t>
  </si>
  <si>
    <t>Restwarmtebenutting met warmtepomp, transportleiding ≥ 0,30 en &lt; 0,40 km/MWth</t>
  </si>
  <si>
    <t>Restwarmtebenutting met warmtepomp, transportleiding ≥ 0,40 km/MWth</t>
  </si>
  <si>
    <t>Elektrificatie industrie</t>
  </si>
  <si>
    <t>Elektroboiler</t>
  </si>
  <si>
    <t>Productie waterstof (kWh/jaar)</t>
  </si>
  <si>
    <t>Waterstof netgekoppeld</t>
  </si>
  <si>
    <t>Waterstof</t>
  </si>
  <si>
    <t>Voeg een waterstofopbrengstberekening en een onderbouwing van het elektriciteitsverbruik toe als de installatie niet produceert, maar gereed staat voor gebruik</t>
  </si>
  <si>
    <t>Waterstof directe lijn</t>
  </si>
  <si>
    <t>Geavanceerde hernieuwbare transportbrandstoffen (gas, benzine en diesel)</t>
  </si>
  <si>
    <t>Bio-ethanol uit vaste lignocellulosehoudende biomassa (benzinevervanger)</t>
  </si>
  <si>
    <t>Productie bio-ethanol (kWh/jaar)</t>
  </si>
  <si>
    <t>Bio-ethanol</t>
  </si>
  <si>
    <t>Bio-methanol uit vaste lignocellulosehoudende biomassa (benzinevervanger)</t>
  </si>
  <si>
    <t>Productie bio-methanol (kWh/jaar)</t>
  </si>
  <si>
    <t>Bio-methanol</t>
  </si>
  <si>
    <t>Bio-LNG uit monomestvergisting (vloeibaar gas)</t>
  </si>
  <si>
    <t>Productie vloeibaar gas (kWh/jaar)</t>
  </si>
  <si>
    <t>Vloeibaar gas</t>
  </si>
  <si>
    <t>Bio-LNG uit allesvergisting (vloeibaar gas)</t>
  </si>
  <si>
    <t xml:space="preserve">Diesel-en benzinevervangers uit vaste lignocellulosehoudende biomassa </t>
  </si>
  <si>
    <t>Productie diesel- en benzinevervangers (kWh/jaar)</t>
  </si>
  <si>
    <t>Diesel-en benzinevervangers</t>
  </si>
  <si>
    <t>Vragen tabblad Financiering_en_projectplan</t>
  </si>
  <si>
    <t>Vraag producent</t>
  </si>
  <si>
    <t>Antwoord bent u producent (1 = ja, 2 = nee)</t>
  </si>
  <si>
    <t>Vraag financiering</t>
  </si>
  <si>
    <t>Projectfinanciering</t>
  </si>
  <si>
    <t>Balansfinanciering</t>
  </si>
  <si>
    <t>Vraag ETS-bedrijf</t>
  </si>
  <si>
    <t>Antwoord ETS-installatie (1 = ja, 2 = nee)</t>
  </si>
  <si>
    <t>Vraag jaarrekening/bedrijfsbalans</t>
  </si>
  <si>
    <t>Ja</t>
  </si>
  <si>
    <t xml:space="preserve">Nee, aanvrager is kleine onderneming </t>
  </si>
  <si>
    <t>Nee, aanvrager is startende onderneming</t>
  </si>
  <si>
    <t>Vraag investeringssubsidie</t>
  </si>
  <si>
    <t>Nee</t>
  </si>
  <si>
    <t>Niet van toepassing</t>
  </si>
  <si>
    <t>Antwoord investeringssubsidie (1 = ja, 2 = nee)</t>
  </si>
  <si>
    <t>Vraag participaties</t>
  </si>
  <si>
    <t>Antwoord participaties (1= ja, 2 = nee)</t>
  </si>
  <si>
    <t>Vragen tabblad Exploitatieberekening</t>
  </si>
  <si>
    <t>Vragen aflossingsvorm lening</t>
  </si>
  <si>
    <t>Annuïteit</t>
  </si>
  <si>
    <t>Lineair</t>
  </si>
  <si>
    <t>Vragen met ja/nee opties</t>
  </si>
  <si>
    <t>Vragen netbeheerder gas</t>
  </si>
  <si>
    <t>Vragen transport en opslagpartij CO2</t>
  </si>
  <si>
    <t>Vragen ETS-inrichting</t>
  </si>
  <si>
    <t>Vraag verklaring netbeheerder gas en CO2-transport- en opslagpartij</t>
  </si>
  <si>
    <t>Antwoord doorlaatwaarde &gt; 40 Nm3 (1 = ja, 2 = nee)</t>
  </si>
  <si>
    <t>Hulpveld voor uitblauwen biomassablok bij niet biomassacategorieën</t>
  </si>
  <si>
    <t>(0 = wit, 1 = blauw)</t>
  </si>
  <si>
    <t>Hulpveld voor uitblauwen CO2 afvang en opslagblok bij niet CCS-categorieën</t>
  </si>
  <si>
    <t>Vragen tabblad Productie_en_afzet</t>
  </si>
  <si>
    <t>Tekst biomassa met extra eisen temperatuur</t>
  </si>
  <si>
    <t>Tekst biomassa RWZI, verbeterde slibgisting</t>
  </si>
  <si>
    <t>U onderbouwt de aangevraagde energieproductie uit de verbeterde slibgisting bij RWZI's. Bij de aanvraag maakt u aannemelijk dat de bestaande biogasproductie per ton slib  met minimaal 25% kan worden verhoogd ten opzichte van voor de verbetering. De verbetering betreft 25% ten opzichte van de gemiddelde productie van het jaar voorafgaande aan de aanvraag, of, wanneer de producent minder dan een jaar produceert, ten opzichte van de totale gemiddelde productie tot het moment van de aanvraag. U geeft in een projectbeschrijving aan wat er verandert ten opzichte van de bestaande situatie en voegt hierbij een massa-energiebalans en een processchema toe van de bestaande en de nieuwe situatie. De installatiedelen die verantwoordelijk zijn voor de meerproductie van biogas moeten nieuw zijn. Geef in uw projectbeschrijving aan welke dit zijn.</t>
  </si>
  <si>
    <t>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Daarnaast stelt u een renovatieplan op waaruit blijkt dat de productie-installatie geschikt wordt gemaakt om 12 jaar door te kunnen produceren.</t>
  </si>
  <si>
    <t>Tekst biomassa (overig)</t>
  </si>
  <si>
    <t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t>
  </si>
  <si>
    <t>Tekst geothermische opbrengstberekening</t>
  </si>
  <si>
    <t>Als u subsidie aanvraagt in de categorie geothermie moet u ter onderbouwing van de energieopbrengst een geologisch onderzoek overleggen. Aan dit onderzoek worden nadere eisen gesteld. Het geologisch rapport dient te voldoen aan de eisen van het ‘Model Geologisch Onderzoek SDE+’, het ‘Model Geologisch Onderzoek van de Subsidieregeling Energie en Innovatie Risico’s dekken voor aardwarmte (SEI)’, of het ‘Model Geologisch Onderzoek van de Regeling nationale EZ-subsidies Risico’s dekken voor Aardwarmte (RNES)’.</t>
  </si>
  <si>
    <t>Tekst geothermie met warmtepomp opbrengstberekening</t>
  </si>
  <si>
    <t>Als u subsidie aanvraagt in de categorie geothermie moet u ter onderbouwing van de energieopbrengst een geologisch onderzoek overleggen. Aan dit onderzoek worden nadere eisen gesteld. Het geologisch rapport dient te voldoen aan de eisen van het ‘Model Geologisch Onderzoek SDE+’, het ‘Model Geologisch Onderzoek van de Subsidieregeling Energie en Innovatie Risico’s dekken voor aardwarmte (SEI)’, of het ‘Model Geologisch Onderzoek van de Regeling nationale EZ-subsidies Risico’s dekken voor Aardwarmte (RNES)’. Daarnaast stuurt u een processchema van de gehele productie-installatie mee, met daarin aangegeven de geothermische bron, de warmtepomp en temperaturen en debieten. Ook geeft u een specificatie van het energetisch rendement van de warmtepomp (COP) bij ontwerpcondities.</t>
  </si>
  <si>
    <t>₂</t>
  </si>
  <si>
    <t>Tekst waterenergie opbrengstberekening</t>
  </si>
  <si>
    <t>Als u subsidie aanvraagt in de categorie waterkracht of osmose moet u ter onderbouwing van de jaarlijks te verwachten energieproductie een waterenergie-opbrengstberekening meesturen.</t>
  </si>
  <si>
    <t>Tekst windenergieopbrengstberekening categorie hoogtebeperkt</t>
  </si>
  <si>
    <t>Tekst windenergieopbrengstberekening overige windcategorieën</t>
  </si>
  <si>
    <t xml:space="preserve">U vraagt subsidie aan in een categorie windenergie. Ter onderbouwing van de jaarlijks te verwachten energieproductie (netto P50-waarde) moet u een windenergie-opbrengstberekening meesturen. Aan dit onderzoek worden nadere eisen gesteld. Meer informatie vindt u in de 'Handleiding haalbaarheidstudie SDE++’.
</t>
  </si>
  <si>
    <t>Tekst energieopbrengstberekening gebouwgebonden zon-PV-installatie</t>
  </si>
  <si>
    <t>Tekst energieopbrengstberekening drijvende zon-PV-installatie zonder zonvolgsysteem</t>
  </si>
  <si>
    <t>Tekst energieopbrengstberekening grondgebonden zon-PV-installatie zonder zonvolgsysteem</t>
  </si>
  <si>
    <t>Tekst energieopbrengstberekening zon-PV categorie met zonvolgsysteem</t>
  </si>
  <si>
    <t>Tekst energieopbrengstberekening zonthermie</t>
  </si>
  <si>
    <t>Tekst daglichtkas</t>
  </si>
  <si>
    <t>Tekst zon-PVT met warmtepomp</t>
  </si>
  <si>
    <t>Tekst CO2 afvang en opslag (CCS) met productie waterstof uit restgassen voor ondervuring</t>
  </si>
  <si>
    <t>U onderbouwt de aangevraagde hoeveelheid CO₂ die u gaat afvangen en opslaan. Dit kunt u doen door bijvoorbeeld de specificatie-sheets van de CO₂ -afvanginstallatie en een beschrijving van het proces waarbij uit restgassen waterstof wordt geproduceert en CO₂ vrijkomt en afgevangen wordt toe te voegen. Daarnaast geeft u aan voor welk proces de geproduceerde waterstof voor ondervuring wordt ingezet. Tevens geeft u aan of uw project een bestaande of nieuwe afvanginstallatie betreft bij een bestaand of nieuw proces en vermeldt u of er gebruik wordt gemaakt van een nieuwe compressor of vervloeiingsinstallatie. 
Verder voegt u de capaciteitsverklaring(en) van de transport-en opslagpartijen toe waarmee u aantoont dat de afgevangen hoeveelheid CO₂ kan worden getransporteerd en opgeslagen. Ten slotte voegt u rapport(en) toe over de infrastructuur voor transport en de opslag die zijn opgesteld door de transport-en opslagpartijen, die voldoen aan het model 'Vereiste informatie transport- en opslagverklaring’, gepubliceerd op de website van de Rijksdienst voor Ondernemend Nederland.</t>
  </si>
  <si>
    <t>Tekst CO2 afvang en opslag (CCS)</t>
  </si>
  <si>
    <t>Tekst CO2 afvang en hergebruik (CCU)</t>
  </si>
  <si>
    <t>U onderbouwt de aangevraagde hoeveelheid CO₂ die u gaat afvangen en leveren aan de glastuinbouw. Dit kunt u doen door bijvoorbeeld de specificatie-sheets van de CO₂-afvanginstallatie en een beschrijving van het proces waarbij de CO₂ vrijkomt en afgevangen wordt toe te voegen. Daarbij geeft u tevens aan of het een bestaande of nieuwe afvanginstallatie en of het een bestaand of nieuw proces betreft. Daarnaast voegt u een plattegrond met het beoogde leidingtracé van CO₂ -afvang tot CO₂-levering toe. Ook geeft u aan of u als aanvrager zelf de CO₂ gaat transporteren of laat transporteren door een derde. Indien u gebruik maakt van vloeibaar transport per schip of vrachtwagen geeft u dat ook aan en beschrijft u over welk traject dat gaat plaatsvinden. Ook geeft u een onderbouwing van de CO₂-afzet in de glastuinbouw, bijvoorbeeld aan de hand van een intentieverklaring van afnemers.</t>
  </si>
  <si>
    <t>Tekst warmtepomp gesloten</t>
  </si>
  <si>
    <t>U onderbouwt de hoeveelheid warmte die het elektrisch aangedreven gesloten warmtepompsysteem op jaarbasis gaat leveren. U voegt een processchema toe met debieten en temperaturen waaruit blijkt uit welke warmtebron of warmtestroom de warmtepomp de warmte onttrekt, welke warmstroom door de warmtepomp wordt opgewaardeerd en voor welk proces deze warmte benut wordt. Ook geeft u een specificatie van het energetisch rendement van de warmtepomp (COP) bij ontwerpcondities binnen het productieproces waarbij de warmtepomp wordt toegepast.</t>
  </si>
  <si>
    <t>Tekst warmtepomp open</t>
  </si>
  <si>
    <t>U onderbouwt de hoeveelheid warmte die het elektrisch aangedreven open warmtepompsysteem (damprecompressie) op jaarbasis gaat leveren. U geeft daarbij aan voor welk industrieel proces het open warmtepompsysteem wordt toegepast en voegt een processchema toe met temperaturen en debieten. Ook geeft u een specificatie van het energetisch rendement van de warmtepomp (COP) bij ontwerpcondities binnen het productieproces waarbij de warmtepomp wordt toegepast.</t>
  </si>
  <si>
    <t>Tekst restwarmte zonder warmtepomp</t>
  </si>
  <si>
    <t>U onderbouwt de hoeveelheid restwarmte die op jaarbasis wordt uitgekoppeld. U geeft daarbij aan uit welk productieproces de restwarmte afkomstig is, wat het temperatuurniveau is en wat er in de bestaande situatie met de restwarmte werd gedaan. Daarnaast geeft u aan wat het vermogen is van de restwarmtestroom en voor welke nuttige aanwending de restwarmte in de nieuwe situatie krijgt. Ook voegt u een plattegrond toe van het beoogde leidingtracé met leidingdiameters en leidinglengte van uitkoppeling tot aan de afnemer van de restwarmte. Ten slotte geeft u voor uw project een onderbouwing dat uw project voldoet aan de gestelde rato voor vermogen en leidinglengte van de categorie waarvoor u subsidie aanvraagt (deze rato is de som van nieuw aan te leggen warmtetransportleidingen en het vermogen van de restwarmtestroom, uitgedrukt in km/MWth).</t>
  </si>
  <si>
    <t>Tekst restwarmte met warmtepomp</t>
  </si>
  <si>
    <t xml:space="preserve">U onderbouwt de hoeveelheid restwarmte die op jaarbasis wordt uitgekoppeld. U geeft daarbij aan uit welk productieproces de restwarmte afkomstig is, wat het temperatuurniveau is en wat er in de bestaande situatie met de restwarmte werd gedaan. Daarnaast geeft u aan wat het vermogen is van de restwarmtestroom en voor welke nuttige aanwending en op welk temperatuurniveau de restwarmte die opgewaardeerd wordt met een warmtepomp in de nieuwe situatie krijgt. Ook voegt u een plattegrond toe van het beoogde leidingtracé met warmtepomp van uitkoppeling tot aan de afnemer van de restwarmte. Ten slotte geeft u een specificatie van het energetisch rendement van de warmtepomp (COP) bij ontwerpcondities. </t>
  </si>
  <si>
    <t>Tekst elektroboiler</t>
  </si>
  <si>
    <t>Tekst waterstof netgekoppeld</t>
  </si>
  <si>
    <t>Tekst waterstof directe lijn</t>
  </si>
  <si>
    <t>Tekst warmtelevering aan derden</t>
  </si>
  <si>
    <t>Als u warmte gaat leveren aan derden, dient u een onderbouwing te geven van de warmteafzet. Als u een intentieverklaring of contract voor de warmteafname hebt, kunt u een kopie hiervan toevoegen aan de haalbaarheidsstudie. Als u hier niet over beschikt, maak dan op een andere manier aannemelijk dat u de warmte af kunt zetten, door bijvoorbeeld concrete samenwerkingsplannen met warmte-afnemers toe te voegen aan de haalbaarheidsstudie.</t>
  </si>
  <si>
    <t>Tekst haalbaarheidsstudie netbeheerder voor invoeden hernieuwbaar gas</t>
  </si>
  <si>
    <t>U voegt een verklaring met prijsindicatie van de netbeheerder voor het invoeden van hernieuwbaar gas toe aan de haalbaarheidsstudie.</t>
  </si>
  <si>
    <t>Tekst capaciteitsverklaring CCS, aanvrager laat CO2 transporteren</t>
  </si>
  <si>
    <r>
      <t>U gaat niet zelf CO₂ te gaan transporteren én opslaan. U voegt een Capaciteitsverklaring van de partij die de transport en opslag van CO₂ zal realiseren toe aan de haalbaarheidsstudie en een rapport over de infrastructuur voor transport en opslag. Haalbaarheidsstudies van de beoogde opslagpartijen naar de geschikheid en capaciteit van de beoogde opslaglocaties maken deel uit van de capaciteitsverklaring. RVO biedt op haar website een verplicht Model haalbaarheidsstudie voor CO</t>
    </r>
    <r>
      <rPr>
        <sz val="10"/>
        <rFont val="Calibri"/>
        <family val="2"/>
      </rPr>
      <t>₂</t>
    </r>
    <r>
      <rPr>
        <sz val="10"/>
        <rFont val="Arial"/>
        <family val="2"/>
      </rPr>
      <t xml:space="preserve">-opslag aan.   </t>
    </r>
  </si>
  <si>
    <t>Tekst capaciteitsverklaring CCS, aanvrager transporteert zelf CO2</t>
  </si>
  <si>
    <r>
      <t>U gaat zelf CO</t>
    </r>
    <r>
      <rPr>
        <sz val="10"/>
        <rFont val="Calibri"/>
        <family val="2"/>
      </rPr>
      <t>₂</t>
    </r>
    <r>
      <rPr>
        <sz val="10"/>
        <rFont val="Arial"/>
        <family val="2"/>
      </rPr>
      <t xml:space="preserve"> te gaan transporteren én opslaan. U voegt een rapport over de infrastructuur voor transport en opslag toe. Onderdeel hiervan is de haalbaarheidsstudie(s) naar de geschikheid en capaciteit van de beoogde opslaglocatie(s). RVO biedt op haar website een verplicht Model haalbaarheidsstudie voor CO₂-opslag aan.   </t>
    </r>
  </si>
  <si>
    <t>Tabel voor onderbouwing energie-of productopbrengst</t>
  </si>
  <si>
    <t>Drijvende Zon-PV-installatie</t>
  </si>
  <si>
    <t>Selectie tekstblok energie-of productopbrengst</t>
  </si>
  <si>
    <t>Tabel voor onderbouwing afzet warmte, gas, elektriciteit, CO2</t>
  </si>
  <si>
    <t>Gas</t>
  </si>
  <si>
    <t xml:space="preserve">Elektriciteit </t>
  </si>
  <si>
    <t>CO2</t>
  </si>
  <si>
    <t>Transportbrandstof</t>
  </si>
  <si>
    <t>Hoe gaat u de warmte aanwenden?</t>
  </si>
  <si>
    <t>Is voor de productie-installatie een aansluiting met een doorlaatwaarde groter dan 40 Nm3 per uur nodig?</t>
  </si>
  <si>
    <t>Hydropyrolyse-olie</t>
  </si>
  <si>
    <t>Selectie tekstje vraag aanwending warmte, invoeding hernieuwbaar gas of opslag CO2</t>
  </si>
  <si>
    <t>Vraag aanwending warmte</t>
  </si>
  <si>
    <t>Warmtegebruik binnen eigen bedrijf</t>
  </si>
  <si>
    <t>Vul hieronder in voor welke gebouwverwarming of welk productieproces u de warmte binnen uw bedrijf zal gaan aanwenden</t>
  </si>
  <si>
    <t>Warmtegebruik binnen eigen bedrijf én warmtelevering aan derden</t>
  </si>
  <si>
    <t>Vul hieronder zowel voor uw eigen bedrijf als voor uw warmteafnemer in voor welke gebouwverwarming of welk productieproces de warmte zal worden aangewend</t>
  </si>
  <si>
    <t>Warmtelevering aan derden</t>
  </si>
  <si>
    <t>Vul hieronder in voor welke gebouwverwarming of welk productieproces de warmte bij uw warmteafnemer zal worden aangewend</t>
  </si>
  <si>
    <t>Warmtegebruik binnen eigen bedrijf op een andere locatie</t>
  </si>
  <si>
    <t>Vul hieronder in voor welke gebouwverwarming of welk productieproces u de warmte binnen uw bedrijf op een andere locatie zal gaan aanwenden</t>
  </si>
  <si>
    <t xml:space="preserve">Berekening projectrendement en rendement eigen vermogen over de subsidielooptijd </t>
  </si>
  <si>
    <t xml:space="preserve">Toelichting: </t>
  </si>
  <si>
    <t>Bij jaarlijks sterk varierende cashflows en/of het optreden van negatieve cashflows gedurende de subsidielooptijd kan de standaard IR-berekening in Excel mogelijk onjuiste uitkomsten geven. In dat geval kan als indicatie voor het projectrendement en rendement op eigen vermogen gerekend worden met een gemiddelde cashflow over de subsidielooptijd.</t>
  </si>
  <si>
    <t>Berekening projectrendement</t>
  </si>
  <si>
    <t>Bruto cashflows per jaar conform tabblad explotatieberekening</t>
  </si>
  <si>
    <t xml:space="preserve">Standaard IR-berekening </t>
  </si>
  <si>
    <t>Gemiddelde bruto cashfow per jaar over subsidieperiode</t>
  </si>
  <si>
    <t>Aangepaste IR-berekening gemiddelde bruto cashflow</t>
  </si>
  <si>
    <t>Berekening rendement op eigen vermogen</t>
  </si>
  <si>
    <t>Netto cashflows per jaar conform tabblad explotatieberekening</t>
  </si>
  <si>
    <t>Gemiddelde netto cashfow per jaar over subsidieperiode</t>
  </si>
  <si>
    <t>Aangepaste IR-berekening gemiddelde netto cashflow</t>
  </si>
  <si>
    <t>Totaal verwachte opbrengst energie (vermeden inkoop en/of terugleververgoeding) (€)</t>
  </si>
  <si>
    <t>Totaal verwachte opbrengst SDE++ (€/jaar)</t>
  </si>
  <si>
    <t>Naam subsidieregeling</t>
  </si>
  <si>
    <t>Tekst ETS-voordeel</t>
  </si>
  <si>
    <t>U onderbouwt de aangevraagde energieproductie uit het daglichtkasconcept. Dit doet u onder andere door het opstellen van een massa-energiebalans over het jaar. Deze bevat temperaturen en debieten. Dit doet u door de specificatie-sheets van de installatie en een gedetailleerde tekening op schaal waarop de aangevraagde zonthermie-installatie nauwkeurig is ingetekend mee te sturen. Daarnaast stuurt u een processchema van de gehele productie-installatie mee, met daarin aangegeven het zonthermische systeem, de seizoensopslag voor warmte, de warmtepomp en temperaturen en debieten. Ook geeft u een specificatie van het energetisch rendement van de warmtepomp (COP) bij ontwerpcondities. De productie-installatie mag niet gebruikt worden voor koudelevering.</t>
  </si>
  <si>
    <t>Voeg een energieopbrengstberekening en een gedetailleerde tekening op schaal waarop de aangevraagde Zonthermie-installatie nauwkeurig is ingetekend toe</t>
  </si>
  <si>
    <t>U onderbouwt de aangevraagde energieproductie uit het zon-PVT met warmtepompsysteem. Dit doet u onder andere door het opstellen van een massa-energiebalans over het jaar. Deze bevat temperaturen en debieten. Dit kunt u doen door bijvoorbeeld de specificatie-sheets van de installatie mee te sturen. Daarnaast stuurt u een processchema van de gehele productie-installatie mee, met daarin aangegeven het zonthermische systeem, de eventuele seizoensopslag voor warmte, de warmtepomp en temperaturen en debieten. Ook geeft u een specificatie van het energetisch rendement van de warmtepomp (COP) bij ontwerpcondities. Verder onderbouwt u dat de oppervlakte aan fotovoltaïsch-thermische panelen minimaal 1,2 m² per kWth aan vermogen van de warmtepomp bedraagt en voegt u een gedetailleerde tekening op schaal toe waarop de zonnepanelen nauwkeurig op de beoogde locatie zijn ingetekend. Zijn of komen er op de beoogde locatie meer installaties, dan geeft u dit duidelijk aan. Uit de intekening moet ook de oriëntatie van de installatie blijken. De productie-installatie mag niet gebruikt worden voor koudelevering.</t>
  </si>
  <si>
    <t xml:space="preserve">Voor de categorie zonthermie hoeft u geen energie-opbrengstberekening toe te voegen. Bij een zonthermiesysteem met afgedekte collectoren bedraagt het vermogen van een zonthermie installatie 0,7 kWth/m2 apertuuroppervlakte. Bij zonnecollectorsystemen met zonvolgende concentrerende collectoren  bedraagt het vermogen van een zonthermie installatie 0,7 kWth/m2 aangestraald oppervlak van de spiegels of lenzen voor het concentreren van zonlicht. De energieopbrengst (kWh/jaar) wordt berekend door het totaal thermisch vermogen van de installatie (in kW) te vermenigvuldigen met 600 vollasturen/jaar. Wel wordt u gevraagd om een gedetailleerde tekening op schaal waarop de aangevraagde zonthermie-installatie nauwkeurig op de beoogde locatie is ingetekend, toe te voegen. Zijn of komen er op de beoogde locatie meer installaties, dan geeft u dit duidelijk aan. Uit de intekening moet ook de oriëntatie van de installatie blijken. Bereken ingeval van een dakgebonden systeem het beschikbare dakoppervlak en houd rekening met lichtstraten en klimaatinstallaties die op het dak staan.
</t>
  </si>
  <si>
    <t xml:space="preserve">U vraagt subsidie aan in een categorie zon-PV met een zonvolgend systeem. Ter onderbouwing van de jaarlijks te verwachten netto elektriciteitsproductie moet u een zonne-energie-opbrengstberekening meesturen. Aan dit onderzoek worden nadere eisen gesteld. Meer informatie vindt u in de 'Handleiding haalbaarheidstudie SDE++'. Daarnaast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t>
  </si>
  <si>
    <t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Indien u gebruik maakt van houtige biomassa gelden minimum temperatuureisen voor toepassing van de warmte. Geeft u in dat geval een onderbouwing dat de geproduceerde warmte wordt toegepast in een verwarmingssysteem met een aanvoertemperatuur aan de gebruikerszijde van ten minste 100 °C in het stookseizoen of in een stoomsysteem (met gebruikerszijde wordt de eerste gebruiker van de warmte bedoeld).
</t>
  </si>
  <si>
    <r>
      <t>Voor deze categorie geldt een minimale COP-eis voor de warmtepomp en dat de warmte uitsluitend wordt geleverd aan de gebouwde omgeving met een minimale temperatuur van 90</t>
    </r>
    <r>
      <rPr>
        <sz val="10"/>
        <rFont val="Calibri"/>
        <family val="2"/>
      </rPr>
      <t>⁰</t>
    </r>
    <r>
      <rPr>
        <sz val="10"/>
        <rFont val="Arial"/>
        <family val="2"/>
      </rPr>
      <t xml:space="preserve">C aan gebruikerszijde (voor de eerste gebruiker van de warmte). </t>
    </r>
  </si>
  <si>
    <t>Monomestvergisting, gecombineerde opwekking &gt; 450 kW</t>
  </si>
  <si>
    <t>Monomestvergisting, warmte &gt; 450 kW</t>
  </si>
  <si>
    <t>Monomestvergisting, hernieuwbaar gas &gt; 450 kW</t>
  </si>
  <si>
    <t>Stoomketel op houtpellets ≥ 5 MWth en &lt; 50 MWth</t>
  </si>
  <si>
    <t>Stoomketel op houtpellets ≥ 50 MWth</t>
  </si>
  <si>
    <t>Lucht warmte</t>
  </si>
  <si>
    <t>Zon-PV ≥ 15 kWp en &lt; 1 MWp aansluiting &gt; 3*80 A, gebouwgebonden (net = 50%)</t>
  </si>
  <si>
    <t>Zon-PV ≥ 1 MWp, gebouwgebonden (net = 50%)</t>
  </si>
  <si>
    <t>Zon-PV ≥ 15 kWp en &lt; 1 MWp aansluiting &gt; 3*80 A, drijvend op water (net = 50%)</t>
  </si>
  <si>
    <t>Zon-PV ≥ 1 MWp, drijvend op water (net = 50%)</t>
  </si>
  <si>
    <t>Zon-PV ≥ 15 kWp en &lt; 1 MWp aansluiting &gt; 3*80 A, op land (net = 50%)</t>
  </si>
  <si>
    <t>Zon-PV ≥ 1 MWp en &lt;  20 MWp, op land (net = 50%)</t>
  </si>
  <si>
    <t>Zon-PV ≥ 1 MWp en &lt; 20 MWp, zonvolgend op land</t>
  </si>
  <si>
    <t>Zon-PV ≥ 20 MWp, zonvolgend op land</t>
  </si>
  <si>
    <t>Zon-PV ≥ 20 MWp, op land (net = 50%)</t>
  </si>
  <si>
    <t>CCS - Nieuwe pre-combustion CO₂-zuivering, bestaande installatie, gasvormig transport (PBL variant 3A)</t>
  </si>
  <si>
    <t>CCS - Nieuwe pre-combustion CO₂-zuivering, nieuwe installatie, gasvormig transport (PBL variant 7A)</t>
  </si>
  <si>
    <t>CCS - Nieuwe pre-combustion CO₂-zuivering, bestaande installatie niet-ETS-bedrijf, gasvormig transport (PBL variant 3A)</t>
  </si>
  <si>
    <t>CCS - Nieuwe pre-combustion CO₂-zuivering, bestaande installatie, vloeibaar transport, nieuwe vervloeiingsinstallatie (PBL variant 3B)</t>
  </si>
  <si>
    <t>CCS - Nieuwe pre-combustion CO₂-zuivering, nieuwe installatie niet-ETS-bedrijf, gasvormig transport (PBL variant 7A)</t>
  </si>
  <si>
    <t>CCS - Nieuwe pre-combustion CO₂-zuivering, nieuwe installatie, vloeibaar transport, nieuwe vervloeiingsinstallatie (PBL variant 7B)</t>
  </si>
  <si>
    <t>CCS - Nieuwe pre-combustion CO₂-zuivering, bestaande installatie niet-ETS-bedrijf, vloeibaar transport, nieuwe vervloeiingsinstallatie (PBL variant 3B)</t>
  </si>
  <si>
    <t>CCS - Nieuwe pre-combustion CO₂-zuivering, nieuwe installatie niet-ETS-bedrijf, vloeibaar transport, nieuwe vervloeiingsinstallatie (PBL variant 7B)</t>
  </si>
  <si>
    <t>CCU - Nieuwe pre-combustion CO₂-zuivering bij bestaande installatie, gasvormig transport (bestaande) transportleiding (PBL variant 1A)</t>
  </si>
  <si>
    <t>CCU - Nieuwe pre-combustion CO₂-zuivering bij nieuwe installatie, gasvormig transport (bestaande) transportleiding (PBL variant 3A)</t>
  </si>
  <si>
    <t>CCU - Nieuwe pre-combustion CO₂-zuivering bij bestaande installatie, gasvormig transport, nieuwe transportleiding (PBL variant 1B)</t>
  </si>
  <si>
    <t>CCU - Nieuwe pre-combustion CO₂-zuivering bij nieuwe installatie, gasvormig transport, nieuwe transportleiding (PBL variant 3B)</t>
  </si>
  <si>
    <t>CCU - Nieuwe pre-combustion CO₂-zuivering bij bestaande installatie, vloeibaar transport, nieuwe vervloeiingsinstallatie (PBL variant 1C)</t>
  </si>
  <si>
    <t>CCU - Nieuwe pre-combustion CO₂-zuivering bij nieuwe installatie, vloeibaar transport, nieuwe vervloeiingsinstallatie (PBL variant 3C)</t>
  </si>
  <si>
    <t>Grootschalige elektrische boiler voor stadsverwarming</t>
  </si>
  <si>
    <t>Lucht-water warmtepomp</t>
  </si>
  <si>
    <t>Basisprijs Zon-PV niet-netlevering</t>
  </si>
  <si>
    <t>Fase 4 (300 euro/ton CO2)</t>
  </si>
  <si>
    <t>Economische levensduur (jaar)</t>
  </si>
  <si>
    <t>Economische levensduur</t>
  </si>
  <si>
    <t>Afschrijftermijn (jaar)</t>
  </si>
  <si>
    <t>Gewogen gemiddelde DSCR berekening afhankelijk van looptijd lening</t>
  </si>
  <si>
    <t>Looptijd lening</t>
  </si>
  <si>
    <t>Waarde DSCR</t>
  </si>
  <si>
    <t>Lange-termijnprijs totaal</t>
  </si>
  <si>
    <t>Methode-ID</t>
  </si>
  <si>
    <t>Omschrijving</t>
  </si>
  <si>
    <t>Categorie</t>
  </si>
  <si>
    <t>Waarde</t>
  </si>
  <si>
    <t>Formule</t>
  </si>
  <si>
    <t>EPEX</t>
  </si>
  <si>
    <t>2/3 x LT_e</t>
  </si>
  <si>
    <t>LT_e</t>
  </si>
  <si>
    <t>Elektriciteit-WOL</t>
  </si>
  <si>
    <t>EPEX x PIF_WOL</t>
  </si>
  <si>
    <t>2/3 x LT_e x LT_PIF_WOL</t>
  </si>
  <si>
    <t>LT_e x LT_PIF_WOL</t>
  </si>
  <si>
    <t>GVO_e</t>
  </si>
  <si>
    <t>Elektriciteit-ZonPV-netlevering</t>
  </si>
  <si>
    <t>EPEX x PIF_PV</t>
  </si>
  <si>
    <t>2/3 x LT_e x LT_PIF_PV</t>
  </si>
  <si>
    <t>LT_e x LT_PIF_PV</t>
  </si>
  <si>
    <t>Elektricteit-ZonPV-niet-netlevering, klein</t>
  </si>
  <si>
    <t>EPEX x PIF_PV + EB3_e + ODE3_e + transport</t>
  </si>
  <si>
    <t>Elektricteit-ZonPV-niet-netlevering, groot</t>
  </si>
  <si>
    <t>EPEX x PIF_PV + EB3_e + ODE3_e</t>
  </si>
  <si>
    <t>Hernieuwbaar gas HHV</t>
  </si>
  <si>
    <t>TTF[HHV]</t>
  </si>
  <si>
    <t>2/3 x LT_g[HHV]</t>
  </si>
  <si>
    <t>LT_g[HHV]</t>
  </si>
  <si>
    <t>Warmte, klein</t>
  </si>
  <si>
    <t>Warmte, middelklein</t>
  </si>
  <si>
    <t>Warmte, middelgroot</t>
  </si>
  <si>
    <t>Warmte, groot_1</t>
  </si>
  <si>
    <t>70% x TTF[LHV]</t>
  </si>
  <si>
    <t xml:space="preserve">70% x 2/3 x LT_g[LHV] </t>
  </si>
  <si>
    <t xml:space="preserve">70% x LT_g[LHV] </t>
  </si>
  <si>
    <t>Warmte, groot</t>
  </si>
  <si>
    <t xml:space="preserve">90% x TTF[LHV] </t>
  </si>
  <si>
    <t xml:space="preserve">90% x 2/3 x LT_g[LHV] </t>
  </si>
  <si>
    <t xml:space="preserve">90% x LT_g[LHV] </t>
  </si>
  <si>
    <t>Directe warmte</t>
  </si>
  <si>
    <t>WKK, klein</t>
  </si>
  <si>
    <t>WKK</t>
  </si>
  <si>
    <t>projectspecifiek</t>
  </si>
  <si>
    <t xml:space="preserve">(EPEX + WK x (TTF[LHV] + EB1 + ODE1) / 90%) / (1 + WK-factor) </t>
  </si>
  <si>
    <t>WKK, middelklein</t>
  </si>
  <si>
    <t xml:space="preserve">(EPEX + WK x (TTF[LHV] + EB2 + ODE2) / 90%) / (1 + WK-factor) </t>
  </si>
  <si>
    <t xml:space="preserve">WKK, middelgroot  </t>
  </si>
  <si>
    <t xml:space="preserve">(EPEX + WK x (TTF[LHV] + EB3 + ODE3) / 90%) / (1 + WK-factor) </t>
  </si>
  <si>
    <t>(0,29 + 49 x TTF[HHV])/39.32</t>
  </si>
  <si>
    <t>(0,29 + 49 x 2/3 x LT_g[HHV])/39.32</t>
  </si>
  <si>
    <t>(0,29 + 49 x LT_g[HHV])/39.32</t>
  </si>
  <si>
    <t>CCS</t>
  </si>
  <si>
    <t>EUA</t>
  </si>
  <si>
    <t>2/3 x LT_CO2</t>
  </si>
  <si>
    <t>LT_CO2</t>
  </si>
  <si>
    <t>CO2-gebruik</t>
  </si>
  <si>
    <t>CCU</t>
  </si>
  <si>
    <t>TTF[LHV] / ketel_co2 x 1000 - 2/3 x 1000 x EPEX/wkk_co2</t>
  </si>
  <si>
    <t>(2/3 x LT_g[LHV]) / ketel_co2 x 1000 - 2/3 x 1000 x (2/3 x LT_e)/wkk_co2</t>
  </si>
  <si>
    <t>LT_g[LHV] / ketel_co2 x 1000 - 2/3 x  1000 x LT_e/wkk_co2</t>
  </si>
  <si>
    <t>Benzine</t>
  </si>
  <si>
    <t>Brandstoffen</t>
  </si>
  <si>
    <t>ol</t>
  </si>
  <si>
    <t>2/3 x LT_ol</t>
  </si>
  <si>
    <t>LT_ol</t>
  </si>
  <si>
    <t>HBE</t>
  </si>
  <si>
    <t>Benzine/diesel</t>
  </si>
  <si>
    <t>57% x ol + 43% x dies</t>
  </si>
  <si>
    <t>2/3 x (57% x LG_ol + 43% x LT_dies)</t>
  </si>
  <si>
    <t>57% x LG_ol + 43% x LT_dies</t>
  </si>
  <si>
    <t>Offshore elektrificatie</t>
  </si>
  <si>
    <t>3,48 x TTF[LHV]</t>
  </si>
  <si>
    <t>3,48 x 2/3 x LT_g[LHV]</t>
  </si>
  <si>
    <t>3,48 x LT_g[LHV]</t>
  </si>
  <si>
    <t>Hernieuwbaar gas LHV</t>
  </si>
  <si>
    <t>TTF[LHV]</t>
  </si>
  <si>
    <t>2/3 x LT_g[LHV]</t>
  </si>
  <si>
    <t>LT_g[LHV]</t>
  </si>
  <si>
    <t>LNG</t>
  </si>
  <si>
    <t>TTF[LHV] + 0,00319</t>
  </si>
  <si>
    <t>2/3 x LT_g[LHV] + 0,00319</t>
  </si>
  <si>
    <t>LT_g[LHV] + 0,00319</t>
  </si>
  <si>
    <t>FT</t>
  </si>
  <si>
    <t>30% x ol + 70% x dies</t>
  </si>
  <si>
    <t>2/3 x (30% x LT_ol + 70% x LT_dies)</t>
  </si>
  <si>
    <t>30% x LT_ol + 70% x LT_dies</t>
  </si>
  <si>
    <t>Geen correctiebedrag</t>
  </si>
  <si>
    <t>TTF[LHV] / ketel_co2 x 1000 - 2/3 x 1000 x EPEX/wkk_co2 + co2_transp_kost</t>
  </si>
  <si>
    <t>(2/3 x LT_g[LHV]) / ketel_co2 x 1000 - 2/3 x 1000 x (2/3 x LT_e)/wkk_co2  +  co2_transp_kost</t>
  </si>
  <si>
    <t>LT_g[LHV] / ketel_co2 x 1000 - 2/3 x  1000 x LT_e/wkk_co2  + co2_transp_kost</t>
  </si>
  <si>
    <t>TTF[LHV] / ketel_co2 x 1000 - 90% x 1000 x EPEX/wkk_co2 + co2_vermeden_opex_wkk_ketel</t>
  </si>
  <si>
    <t>(2/3 x LT_g[LHV]) / ketel_co2 x 1000 - 90% x 1000 x (2/3 x LT_e)/wkk_co2  + (2/3)* LT_co2_verm_opex</t>
  </si>
  <si>
    <t>LT_g[LHV] / ketel_co2 x 1000 - 90% x  1000 x LT_e/wkk_co2  +  LT_co2_verm_opex</t>
  </si>
  <si>
    <t>Eenheid</t>
  </si>
  <si>
    <t>Elektriciteitsprijs</t>
  </si>
  <si>
    <t>€/kWh</t>
  </si>
  <si>
    <t>Langetermijnelektriciteitsprijs</t>
  </si>
  <si>
    <t>PIF_WOL</t>
  </si>
  <si>
    <t>Profiel- en onbalansfactor wind op land</t>
  </si>
  <si>
    <t>LT_PIF_WOL</t>
  </si>
  <si>
    <t>Langetermijnprofiel- en langetermijnonbalansfactor wind op land</t>
  </si>
  <si>
    <t>PIF_PV</t>
  </si>
  <si>
    <t>Profiel- en onbalansfactor zon-PV</t>
  </si>
  <si>
    <t>LT_PIF_PV</t>
  </si>
  <si>
    <t>Langetermijnprofiel- en langetermijnonbalansfactor zon-PV</t>
  </si>
  <si>
    <t>Gasprijs in bovenwaarde</t>
  </si>
  <si>
    <t>Gasprijs in onderwaarde</t>
  </si>
  <si>
    <t>Langetermijngasprijs in bovenwaarde</t>
  </si>
  <si>
    <t>Langetermijngasprijs in onderwaarde</t>
  </si>
  <si>
    <t>Prijs CO2-emissierechten</t>
  </si>
  <si>
    <t>Langetermijn-CO2-prijs</t>
  </si>
  <si>
    <t>transport</t>
  </si>
  <si>
    <t>Marginale transporttarieven</t>
  </si>
  <si>
    <t>WK</t>
  </si>
  <si>
    <t>Warmtekrachtverhouding</t>
  </si>
  <si>
    <t>Categorie-specifiek</t>
  </si>
  <si>
    <t>EB3_e</t>
  </si>
  <si>
    <t>Energiebelasting elektriciteit, 3e schijf</t>
  </si>
  <si>
    <t>EB1</t>
  </si>
  <si>
    <t>Energiebelasting gas, 1e schijf</t>
  </si>
  <si>
    <t>EB2</t>
  </si>
  <si>
    <t>Energiebelasting gas, 2e schijf</t>
  </si>
  <si>
    <t>EB3</t>
  </si>
  <si>
    <t>Energiebelasting gas, 3e schijf</t>
  </si>
  <si>
    <t>Kale pomprijs benzine</t>
  </si>
  <si>
    <t>dies</t>
  </si>
  <si>
    <t>Kale pomprijs dieselprijs</t>
  </si>
  <si>
    <t>Langetermijn kale pompprijs benzine</t>
  </si>
  <si>
    <t>LT_dies</t>
  </si>
  <si>
    <t>Langetermijn kale pompprijs diesel</t>
  </si>
  <si>
    <t>ketel_co2</t>
  </si>
  <si>
    <t>wkk_co2</t>
  </si>
  <si>
    <t>Hernieuwbare Brandstofeenheid</t>
  </si>
  <si>
    <t>ef_aardgas</t>
  </si>
  <si>
    <t>Emissiefactor aardgas</t>
  </si>
  <si>
    <t>co2_transp_kost</t>
  </si>
  <si>
    <t>CO2 transportkosten</t>
  </si>
  <si>
    <t>co2_vermeden_opex_wkk_ketel</t>
  </si>
  <si>
    <t>LT_co2_verm_opex</t>
  </si>
  <si>
    <t>Generiek (bij zon-PV netlevering)</t>
  </si>
  <si>
    <t>Correctiebedrag jaar 1 incl. GVO/HBE, excl. ETS, herleid o.b.v. LT-prijs PBL</t>
  </si>
  <si>
    <t>Methode ID PBL-correctiebedragen (bij zon-PV netlevering)</t>
  </si>
  <si>
    <r>
      <t>LT_e / (1,02)</t>
    </r>
    <r>
      <rPr>
        <vertAlign val="superscript"/>
        <sz val="10"/>
        <rFont val="Calibri"/>
        <family val="2"/>
        <scheme val="minor"/>
      </rPr>
      <t>7</t>
    </r>
  </si>
  <si>
    <r>
      <t>(LT_g[LHV] / (1,02)</t>
    </r>
    <r>
      <rPr>
        <vertAlign val="superscript"/>
        <sz val="10"/>
        <rFont val="Arial"/>
        <family val="2"/>
      </rPr>
      <t>7</t>
    </r>
    <r>
      <rPr>
        <sz val="10"/>
        <rFont val="Arial"/>
        <family val="2"/>
      </rPr>
      <t xml:space="preserve"> + EB3) / 90%</t>
    </r>
  </si>
  <si>
    <r>
      <t>(LT-g[LHV] / (1,02)</t>
    </r>
    <r>
      <rPr>
        <vertAlign val="superscript"/>
        <sz val="10"/>
        <rFont val="Arial"/>
        <family val="2"/>
      </rPr>
      <t>7</t>
    </r>
    <r>
      <rPr>
        <sz val="10"/>
        <rFont val="Arial"/>
        <family val="2"/>
      </rPr>
      <t xml:space="preserve"> + EB3) / 90%</t>
    </r>
  </si>
  <si>
    <r>
      <t>LT_g[LHV] /(1,02)</t>
    </r>
    <r>
      <rPr>
        <vertAlign val="superscript"/>
        <sz val="10"/>
        <rFont val="Arial"/>
        <family val="2"/>
      </rPr>
      <t>7</t>
    </r>
    <r>
      <rPr>
        <sz val="10"/>
        <rFont val="Arial"/>
        <family val="2"/>
      </rPr>
      <t xml:space="preserve"> + EB3 </t>
    </r>
  </si>
  <si>
    <r>
      <t>70% x LT_g[LHV] / (1,02)</t>
    </r>
    <r>
      <rPr>
        <vertAlign val="superscript"/>
        <sz val="10"/>
        <rFont val="Arial"/>
        <family val="2"/>
      </rPr>
      <t>7</t>
    </r>
  </si>
  <si>
    <r>
      <t>(LT_g[LHV] / (1,02)</t>
    </r>
    <r>
      <rPr>
        <vertAlign val="superscript"/>
        <sz val="10"/>
        <rFont val="Arial"/>
        <family val="2"/>
      </rPr>
      <t>7</t>
    </r>
    <r>
      <rPr>
        <sz val="10"/>
        <rFont val="Arial"/>
        <family val="2"/>
      </rPr>
      <t xml:space="preserve"> + EB2) / 90%</t>
    </r>
  </si>
  <si>
    <r>
      <t>(LTg[LHV] / (1,02)</t>
    </r>
    <r>
      <rPr>
        <vertAlign val="superscript"/>
        <sz val="10"/>
        <rFont val="Arial"/>
        <family val="2"/>
      </rPr>
      <t>7</t>
    </r>
    <r>
      <rPr>
        <sz val="10"/>
        <rFont val="Arial"/>
        <family val="2"/>
      </rPr>
      <t xml:space="preserve"> )/ ketel_co2 x 1000 - 90% x 1000 x EPEX/wkk_co2 + co2_vermeden_opex_wkk_ketel</t>
    </r>
  </si>
  <si>
    <r>
      <t>90% x LT_g[LHV]/ (1,02)</t>
    </r>
    <r>
      <rPr>
        <vertAlign val="superscript"/>
        <sz val="10"/>
        <rFont val="Arial"/>
        <family val="2"/>
      </rPr>
      <t xml:space="preserve">7 </t>
    </r>
  </si>
  <si>
    <t>Toelichting (formule) generiek, 
bij zon-PV netlevering</t>
  </si>
  <si>
    <r>
      <t>(0,29 + 49 x LT_g[HHV]) / (1,02)</t>
    </r>
    <r>
      <rPr>
        <vertAlign val="superscript"/>
        <sz val="10"/>
        <rFont val="Arial"/>
        <family val="2"/>
      </rPr>
      <t>7</t>
    </r>
    <r>
      <rPr>
        <sz val="10"/>
        <rFont val="Arial"/>
        <family val="2"/>
      </rPr>
      <t xml:space="preserve">) / 39.32 </t>
    </r>
  </si>
  <si>
    <t xml:space="preserve">Als de productie-installatie deel uitmaakt van een ETS-installatie wordt de SDE++-subsidie ook gecorrigeerd voor voordelen die voortvloeien uit het ETS-systeem. Op het tabblad Exploitatieberekening zijn de verwachte ETS-voordelen en ETS-correcties voor de betreffende categorie vooringevuld. </t>
  </si>
  <si>
    <t xml:space="preserve">U onderbouwt de aangevraagde warmteproductie uit elektriciteit. U stuurt een processchema van de installatie mee waarmee u inzichtelijk maakt hoe groot de totale warmtevraag is van de warmteafnemers en op welk temperatuurniveau. Daarbij toont u aan dat de warmte van de elektroboiler wordt toegepast in een verwarmingssysteem met een aanvoertemperatuur aan de gebruikerszijde van ten minste 100 ⁰C in het stookseizoen of in een stoomsysteem (met gebruikerszijde wordt de eerste gebruiker van de warmte bedoeld). Eventueel vermeldt u, indien er ook andere warmteopwekkers met de elektroboiler warmtezijdig zijn verbonden, welke dat zijn en wat het vermogen daarvan is. Voor de elektrische aansluiting van de elektroboiler geldt dat deze minimaal het nominale vermogen van de elektrische boiler bedraagt. </t>
  </si>
  <si>
    <t>Voeg een CO₂ afvang en opslagberekening en onderbouwend(e) rapport(en) over de infrastructuur voor transport en opslag toe</t>
  </si>
  <si>
    <r>
      <t>U onderbouwt de aangevraagde hoeveelheid CO₂ die u gaat afvangen en opslaan. Dit kunt u doen door bijvoorbeeld de specificatie-sheets van de CO₂ -afvanginstallatie en een beschrijving van het proces waarbij de CO₂ vrijkomt en afgevangen wordt toe te voegen. Daarbij geeft u tevens aan of uw project een bestaande of nieuwe afvanginstallatie betreft bij een bestaand of nieuw proces. Daarnaast vermeldt u of er gebruik wordt gemaakt van een nieuwe compressor of vervloeiingsinstallatie. 
Verder voegt u de capaciteitsverklaring(en) van de transport-en opslagpartijen toe waarmee u aantoont dat de afgevangen hoeveelheid CO</t>
    </r>
    <r>
      <rPr>
        <sz val="10"/>
        <rFont val="Calibri"/>
        <family val="2"/>
      </rPr>
      <t>₂</t>
    </r>
    <r>
      <rPr>
        <sz val="10"/>
        <rFont val="Arial"/>
        <family val="2"/>
      </rPr>
      <t xml:space="preserve"> kan worden getransporteerd en opgeslagen, hiervoor is een model beschikbaar op de website van Rijksdienst voor Ondernemend Nederland. Ten slotte voegt u rapport(en) toe over de infrastructuur voor transport en de opslag die zijn opgesteld door de transport-en opslagpartijen, die voldoen aan het model 'Vereiste informatie transport- en opslagverklaring’, gepubliceerd op de website van de Rijksdienst voor Ondernemend Nederland.</t>
    </r>
  </si>
  <si>
    <t xml:space="preserve">Voor deze categorie geldt een minimale COP eis en temperatuurseis voor de warmtepomp! </t>
  </si>
  <si>
    <r>
      <t>(LT_g[HHV] / (1,02)</t>
    </r>
    <r>
      <rPr>
        <vertAlign val="superscript"/>
        <sz val="10"/>
        <rFont val="Arial"/>
        <family val="2"/>
      </rPr>
      <t>7</t>
    </r>
  </si>
  <si>
    <r>
      <t>(LTe x LT_PIF_WOL / (1,02)</t>
    </r>
    <r>
      <rPr>
        <vertAlign val="superscript"/>
        <sz val="10"/>
        <rFont val="Arial"/>
        <family val="2"/>
      </rPr>
      <t>7</t>
    </r>
    <r>
      <rPr>
        <sz val="10"/>
        <rFont val="Arial"/>
        <family val="2"/>
      </rPr>
      <t>) + GVO_e</t>
    </r>
  </si>
  <si>
    <r>
      <t>((LT_e x LT_PIF_PV) / (1,02)</t>
    </r>
    <r>
      <rPr>
        <vertAlign val="superscript"/>
        <sz val="10"/>
        <rFont val="Arial"/>
        <family val="2"/>
      </rPr>
      <t>7</t>
    </r>
    <r>
      <rPr>
        <sz val="10"/>
        <rFont val="Arial"/>
        <family val="2"/>
      </rPr>
      <t>) + GVO_e</t>
    </r>
  </si>
  <si>
    <r>
      <t>LT_ol / (1,02)</t>
    </r>
    <r>
      <rPr>
        <vertAlign val="superscript"/>
        <sz val="10"/>
        <rFont val="Arial"/>
        <family val="2"/>
      </rPr>
      <t>7</t>
    </r>
    <r>
      <rPr>
        <sz val="10"/>
        <rFont val="Arial"/>
        <family val="2"/>
      </rPr>
      <t xml:space="preserve"> + HBE    (ol = kale pompprijs benzine)</t>
    </r>
  </si>
  <si>
    <r>
      <t>(LT_g[LHV] / (1,02)</t>
    </r>
    <r>
      <rPr>
        <vertAlign val="superscript"/>
        <sz val="10"/>
        <rFont val="Arial"/>
        <family val="2"/>
      </rPr>
      <t>7</t>
    </r>
    <r>
      <rPr>
        <sz val="10"/>
        <rFont val="Arial"/>
        <family val="2"/>
      </rPr>
      <t>) + 0,00319</t>
    </r>
    <r>
      <rPr>
        <vertAlign val="superscript"/>
        <sz val="10"/>
        <rFont val="Arial"/>
        <family val="2"/>
      </rPr>
      <t xml:space="preserve"> </t>
    </r>
    <r>
      <rPr>
        <sz val="10"/>
        <rFont val="Arial"/>
        <family val="2"/>
      </rPr>
      <t xml:space="preserve">+ HBE
</t>
    </r>
  </si>
  <si>
    <r>
      <t>(30% x LT_ol + 70% x LT_dies) / (1,02)</t>
    </r>
    <r>
      <rPr>
        <vertAlign val="superscript"/>
        <sz val="10"/>
        <rFont val="Arial"/>
        <family val="2"/>
      </rPr>
      <t>7</t>
    </r>
    <r>
      <rPr>
        <sz val="10"/>
        <rFont val="Arial"/>
        <family val="2"/>
      </rPr>
      <t xml:space="preserve"> + HBE</t>
    </r>
  </si>
  <si>
    <r>
      <t>(LT_e / (1,02)</t>
    </r>
    <r>
      <rPr>
        <vertAlign val="superscript"/>
        <sz val="10"/>
        <rFont val="Arial"/>
        <family val="2"/>
      </rPr>
      <t>7</t>
    </r>
    <r>
      <rPr>
        <sz val="10"/>
        <rFont val="Arial"/>
        <family val="2"/>
      </rPr>
      <t xml:space="preserve"> + WK x (LT_g[LHV] / (1,02)</t>
    </r>
    <r>
      <rPr>
        <vertAlign val="superscript"/>
        <sz val="10"/>
        <rFont val="Arial"/>
        <family val="2"/>
      </rPr>
      <t>7</t>
    </r>
    <r>
      <rPr>
        <sz val="10"/>
        <rFont val="Arial"/>
        <family val="2"/>
      </rPr>
      <t xml:space="preserve"> + EB2) / 90%) / (1 + WK-factor 0,66) </t>
    </r>
  </si>
  <si>
    <t>Model haalbaarheidsstudie SDE++ 2024</t>
  </si>
  <si>
    <r>
      <t xml:space="preserve">Dit model is bedoeld ter onderbouwing van de financiële en economische haalbaarheid voor SDE++ projecten. U voegt de haalbaarheidsstudie toe bij de aanvraag. Voor de categorieën zon-PV </t>
    </r>
    <r>
      <rPr>
        <sz val="10"/>
        <rFont val="Calibri"/>
        <family val="2"/>
      </rPr>
      <t>≥</t>
    </r>
    <r>
      <rPr>
        <sz val="10"/>
        <rFont val="Arial"/>
        <family val="2"/>
      </rPr>
      <t xml:space="preserve"> 15 kWp en &lt; 1 MWp hoeft u geen haalbaarheidsstudie bij te voegen, maar kunt u volstaan met het beantwoorden van enkele vragen in het aanvraagformulier in eLoket, raadpleeg hiervoor de Handleiding haalbaarheidsstudie SDE++ 2024.   </t>
    </r>
  </si>
  <si>
    <t>Zon-PV ≥ 15 kWp en &lt;  1 MWp aansluiting &gt; 3*80 A, op land natuurinclusief (net = 50%)</t>
  </si>
  <si>
    <t>Zon-PV ≥ 1 MWp en &lt;  20 MWp, op land natuurinclusief (net = 50%)</t>
  </si>
  <si>
    <t>Zon-PV ≥ 20 MWp, op land natuurinclusief (net = 50%)</t>
  </si>
  <si>
    <t xml:space="preserve">Zon-PV ≥ 1 MWp en &lt; 20 MWp, zonvolgend op land natuurinclusief </t>
  </si>
  <si>
    <t xml:space="preserve">Zon-PV ≥ 20 MWp, zonvolgend op land natuurinclusief
</t>
  </si>
  <si>
    <t>Monomestvergisting, hernieuwbaar gas ≤ 110 kW</t>
  </si>
  <si>
    <t>Monomestvergisting, hernieuwbaar gas &gt; 110 kW en ≤ 450 kW</t>
  </si>
  <si>
    <t>Monomestvergisting, gecombineerde opwekking ≤ 110 kW</t>
  </si>
  <si>
    <t>Monomestvergisting, gecombineerde opwekking &gt; 110 kW en ≤ 450 kW</t>
  </si>
  <si>
    <t>Monomestvergisting, warmte ≤ 110 kW</t>
  </si>
  <si>
    <t>Monomestvergisting, warmte &gt; 110 kW en ≤ 450 kW</t>
  </si>
  <si>
    <t>Restwarmtebenutting met warmtepomp, transportleiding &lt; 0,10 km/MWth</t>
  </si>
  <si>
    <t xml:space="preserve">Waterstof uit elektrolyse, netgekoppeld met hernieuwbare stroomafnameovereenkomsten </t>
  </si>
  <si>
    <t>Waterstof uit elektrolyse, directe lijn met windpark of zonnepark</t>
  </si>
  <si>
    <t>Grootschalige elektrische boiler, overige toepassingen niet zijnde tuinbouw</t>
  </si>
  <si>
    <t>Grootschalige elektrische boiler, industriele toepassing, niet zijnde tuinbouw, met hogetemperatuuropslag</t>
  </si>
  <si>
    <r>
      <t>Lucht-water-warmtepomp voor verwarming bestaande gebouwen of bestaande tuinbouwkassen, geen basislast, lagetemperatuur (</t>
    </r>
    <r>
      <rPr>
        <sz val="10"/>
        <rFont val="Calibri"/>
        <family val="2"/>
      </rPr>
      <t>≥</t>
    </r>
    <r>
      <rPr>
        <sz val="7.5"/>
        <rFont val="Arial"/>
        <family val="2"/>
      </rPr>
      <t xml:space="preserve"> </t>
    </r>
    <r>
      <rPr>
        <sz val="10"/>
        <rFont val="Arial"/>
        <family val="2"/>
      </rPr>
      <t>40</t>
    </r>
    <r>
      <rPr>
        <sz val="7.5"/>
        <rFont val="Arial"/>
        <family val="2"/>
      </rPr>
      <t xml:space="preserve"> </t>
    </r>
    <r>
      <rPr>
        <sz val="10"/>
        <rFont val="Calibri"/>
        <family val="2"/>
      </rPr>
      <t>⁰</t>
    </r>
    <r>
      <rPr>
        <sz val="10"/>
        <rFont val="Arial"/>
        <family val="2"/>
      </rPr>
      <t>C</t>
    </r>
    <r>
      <rPr>
        <sz val="5.65"/>
        <rFont val="Arial"/>
        <family val="2"/>
      </rPr>
      <t>)</t>
    </r>
  </si>
  <si>
    <t>Aquathermie met seizoensopslag, basislast, verwarming gebouwde omgeving (6000 vollasturen)</t>
  </si>
  <si>
    <t>Aquathermie, basislast, verwarming gebouwde omgeving (6000 vollasturen)</t>
  </si>
  <si>
    <t>Aquathermie met seizoensopslag, directe toepassing (3500 vollasturen)</t>
  </si>
  <si>
    <t>CCS - Nieuwe post-combustion CO₂-afvang, bestaande afvalverbrandingsinstallatie, gasvormig transport (PBL variant 6A)</t>
  </si>
  <si>
    <t>CCS - Nieuwe post-combustion CO₂-afvang, bestaande afvalverbrandingsinstallatie, vloeibaar transport, nieuwe vervloeiingsinstallatie (PBL variant 6B)</t>
  </si>
  <si>
    <r>
      <t>90% x LT_g[LHV]/ (1,02)</t>
    </r>
    <r>
      <rPr>
        <vertAlign val="superscript"/>
        <sz val="10"/>
        <rFont val="Arial"/>
        <family val="2"/>
      </rPr>
      <t>7</t>
    </r>
    <r>
      <rPr>
        <sz val="10"/>
        <rFont val="Arial"/>
        <family val="2"/>
      </rPr>
      <t xml:space="preserve"> </t>
    </r>
  </si>
  <si>
    <t>Voorlopig correctiebedrag 2024</t>
  </si>
  <si>
    <t>Fase 1 (75 euro/ton CO2)</t>
  </si>
  <si>
    <t>Fase 2 (150 euro/ton CO2)</t>
  </si>
  <si>
    <t>Fase 3 (225 euro/ton CO2)</t>
  </si>
  <si>
    <t>Procesgeïntegreerde warmtepomp in een verdampingsproces (8000 uur)</t>
  </si>
  <si>
    <t>Procesgeïntegreerde warmtepomp in een verdampingsproces (3000 uur)</t>
  </si>
  <si>
    <t>Zon-PV ≥ 15 kWp en &lt;  1 MWp aansluiting &gt; 3*80 A, gebouwgebonden met lichte dakaanpassing of lichtgewicht panelen (net = 50%)</t>
  </si>
  <si>
    <t>Zon-PV ≥ 1 MWp, gebouwgebonden met lichte dakaanpassing of lichtgewicht panelen (net = 50%)</t>
  </si>
  <si>
    <t>Voor de ETS-correctie is in deze haalbaarheidsstudie consequent gekozen voor het voorlopig correctiebedrag 2024. Dit is een seperate correctie in cel H62 op het exploitatietabblad.</t>
  </si>
  <si>
    <t>Berekeninswijzen productprijzen</t>
  </si>
  <si>
    <t>LT_e x LT_PIF_PV + EB3_e + transport</t>
  </si>
  <si>
    <t>2/3 x LT_e x LT_PIF_PV + EB3_e + transport</t>
  </si>
  <si>
    <t>LT_e x LT_PIF_PV + EB3_e</t>
  </si>
  <si>
    <t>2/3 x LT_e x LT_PIF_PV + EB3_e</t>
  </si>
  <si>
    <t>(TTF[LHV] + EB1 ) / 90%</t>
  </si>
  <si>
    <t>(LT_g[LHV] + EB1) / 90%</t>
  </si>
  <si>
    <t>(2/3 x LT_g[LHV] + EB1) / 90%</t>
  </si>
  <si>
    <t>(TTF[LHV] + EB2 ) / 90%</t>
  </si>
  <si>
    <t>(LT_g[LHV] + EB2) / 90%</t>
  </si>
  <si>
    <t>(2/3 x LT_g[LHV] + EB2) / 90%</t>
  </si>
  <si>
    <t>(TTF[LHV] + EB3 ) / 90%</t>
  </si>
  <si>
    <t>(LT_g[LHV] + EB3) / 90%</t>
  </si>
  <si>
    <t>(2/3 x LT_g[LHV] + EB3) / 90%</t>
  </si>
  <si>
    <t>TTF[LHV] + EB3</t>
  </si>
  <si>
    <t>LT_g[LHV] + EB3</t>
  </si>
  <si>
    <t>2/3*LT_g[LHV] + EB3</t>
  </si>
  <si>
    <t xml:space="preserve">( LT_e + WK x ( LT_g[LHV] + EB1 )/ 90%)/(1 + WK-factor) </t>
  </si>
  <si>
    <t xml:space="preserve">(2/3 x LT_e + WK x (2/3 x  LT_g[LHV] + EB1) / 90%)/(1 + WK-factor) </t>
  </si>
  <si>
    <t xml:space="preserve">( LT_e + WK x ( LT_g[LHV] + EB2) / 90%)/(1 + WK-factor) </t>
  </si>
  <si>
    <t xml:space="preserve">(2/3 x LT_e + WK x ( 2/3 x LT_g[LHV] + EB2) / 90%)/(1 + WK-factor) </t>
  </si>
  <si>
    <t xml:space="preserve">( LT_e + WK x ( LT_g[LHV] + EB3) / 90%)/(1 + WK-factor) </t>
  </si>
  <si>
    <t xml:space="preserve">(2/3 x LT_e + WK x (2/3 x  LT_g[LHV] + EB3) / 90%)/(1 + WK-factor) </t>
  </si>
  <si>
    <t>CCS_AVI</t>
  </si>
  <si>
    <t>EUA x AVI_CO2</t>
  </si>
  <si>
    <t>LT_CO2 x AVI_CO2</t>
  </si>
  <si>
    <t>2/3 x EUA x AVI_CO2</t>
  </si>
  <si>
    <t>CCS buiten ETS</t>
  </si>
  <si>
    <t>Product heeft geen prijs</t>
  </si>
  <si>
    <t>CO2-gebruik incl. transportkosten</t>
  </si>
  <si>
    <t>CO2-gebruik incl. vermeden O&amp;M</t>
  </si>
  <si>
    <t>Berekeninswijzen overige correcties: GvO</t>
  </si>
  <si>
    <t>Voorlopige correcties 2024</t>
  </si>
  <si>
    <t>Type bate</t>
  </si>
  <si>
    <t>Berekeningswijze</t>
  </si>
  <si>
    <t>GvO</t>
  </si>
  <si>
    <t>Gelijk aan de meest recente waarde</t>
  </si>
  <si>
    <t>Berekeninswijzen overige correcties: HBE</t>
  </si>
  <si>
    <t>Berekeninswijzen overige correcties: ETS</t>
  </si>
  <si>
    <t>ETS-correctie-ID</t>
  </si>
  <si>
    <t>Geen ETS-correctie</t>
  </si>
  <si>
    <t>CCS 100% ETS-correctie</t>
  </si>
  <si>
    <r>
      <t>t CO</t>
    </r>
    <r>
      <rPr>
        <vertAlign val="subscript"/>
        <sz val="11"/>
        <rFont val="Arial"/>
        <family val="2"/>
      </rPr>
      <t>2</t>
    </r>
  </si>
  <si>
    <t>Warmte 100% ETS-correctie</t>
  </si>
  <si>
    <r>
      <t>kWh</t>
    </r>
    <r>
      <rPr>
        <vertAlign val="subscript"/>
        <sz val="11"/>
        <rFont val="Arial"/>
        <family val="2"/>
      </rPr>
      <t>th</t>
    </r>
  </si>
  <si>
    <t>ETS_max_warmte</t>
  </si>
  <si>
    <t>LT_ETS_max_warmte</t>
  </si>
  <si>
    <t>Elektrificatie offshore platforms</t>
  </si>
  <si>
    <r>
      <t>kWh</t>
    </r>
    <r>
      <rPr>
        <vertAlign val="subscript"/>
        <sz val="11"/>
        <rFont val="Arial"/>
        <family val="2"/>
      </rPr>
      <t>e,input</t>
    </r>
  </si>
  <si>
    <t>Gasbesparing_EOP * (Ef_gas * 0,0036) / 1000 * EUA * (100%-Niet_CL_offshore_gas)</t>
  </si>
  <si>
    <t>Gasbesparing_EOP * (Ef_gas * 3,6/1000) / 1000 * LT_CO2 * (100%-Niet_CL_offshore_gas)</t>
  </si>
  <si>
    <t>Restwarmte zonder warmtepomp levering aan stadverwarming</t>
  </si>
  <si>
    <t>ETS_max_warmte * Allocatie_gratis_EUA_warmtenet</t>
  </si>
  <si>
    <t>LT_ETS_max_warmte * Allocatie_gratis_EUA_warmtenet</t>
  </si>
  <si>
    <t>Restwarmte met warmtepomp levering aan stadverwarming</t>
  </si>
  <si>
    <t>ETS_max_warmte * Allocatie_gratis_EUA_warmtenet*(COP-1)/COP</t>
  </si>
  <si>
    <t>LT_ETS_max_warmte * Allocatie_gratis_EUA_warmtenet * (COP-1)/COP</t>
  </si>
  <si>
    <t>Hernieuwbare warmte met warmtepomp</t>
  </si>
  <si>
    <t>ETS_max_warmte * (COP-1)/COP</t>
  </si>
  <si>
    <t>LT_ETS_max_warmte * (COP-1)/COP</t>
  </si>
  <si>
    <t>Hernieuwbare warmte zonder warmtepomp levering aan stadsverwarming</t>
  </si>
  <si>
    <t>ETS_max_warmte * D_ketel_warmtenet_inflex</t>
  </si>
  <si>
    <t>LT_ETS_max_warmte * D_ketel_warmtenet_inflex</t>
  </si>
  <si>
    <t>Hernieuwbare warmte met warmtepomp levering aan stadsverwarming</t>
  </si>
  <si>
    <t>ETS_max_warmte * D_ketel_warmtenet_inflex * Allocatie_gratis_EUA_warmtenet * (COP-1)/COP</t>
  </si>
  <si>
    <t>LT_ETS_max_warmte * D_ketel_warmtenet_inflex * Allocatie_gratis_EUA_warmtenet * (COP-1)/COP</t>
  </si>
  <si>
    <t>Elektrische boiler levering aan stadsverwarming</t>
  </si>
  <si>
    <t>ETS_max_warmte * D_ketel_warmtenet_flex * (1 - Allocatie_gratis_EUA_warmtenet)</t>
  </si>
  <si>
    <t>LT_ETS_max_warmte * D_ketel_warmtenet_flex * (1 - Allocatie_gratis_EUA_warmtenet)</t>
  </si>
  <si>
    <t>Waterstof 100% ETS-correctie</t>
  </si>
  <si>
    <r>
      <t>kWh</t>
    </r>
    <r>
      <rPr>
        <vertAlign val="subscript"/>
        <sz val="11"/>
        <rFont val="Arial"/>
        <family val="2"/>
      </rPr>
      <t>HHV</t>
    </r>
    <r>
      <rPr>
        <sz val="11"/>
        <rFont val="Arial"/>
        <family val="2"/>
      </rPr>
      <t xml:space="preserve"> H</t>
    </r>
    <r>
      <rPr>
        <vertAlign val="subscript"/>
        <sz val="11"/>
        <rFont val="Arial"/>
        <family val="2"/>
      </rPr>
      <t>2</t>
    </r>
  </si>
  <si>
    <t>ETS_max_waterstof</t>
  </si>
  <si>
    <t>Parameterwaardes</t>
  </si>
  <si>
    <t>Parameter</t>
  </si>
  <si>
    <t>Recent</t>
  </si>
  <si>
    <r>
      <t>Berekeningswijze</t>
    </r>
    <r>
      <rPr>
        <vertAlign val="superscript"/>
        <sz val="11"/>
        <color theme="0"/>
        <rFont val="Arial"/>
        <family val="2"/>
      </rPr>
      <t>1</t>
    </r>
  </si>
  <si>
    <t>Lange termijn</t>
  </si>
  <si>
    <r>
      <t>EPEX</t>
    </r>
    <r>
      <rPr>
        <vertAlign val="superscript"/>
        <sz val="11"/>
        <rFont val="Arial"/>
        <family val="2"/>
      </rPr>
      <t>2</t>
    </r>
  </si>
  <si>
    <r>
      <t>€/kWh</t>
    </r>
    <r>
      <rPr>
        <vertAlign val="subscript"/>
        <sz val="11"/>
        <rFont val="Arial"/>
        <family val="2"/>
      </rPr>
      <t>HHV</t>
    </r>
  </si>
  <si>
    <r>
      <t>€/kWh</t>
    </r>
    <r>
      <rPr>
        <vertAlign val="subscript"/>
        <sz val="11"/>
        <rFont val="Arial"/>
        <family val="2"/>
      </rPr>
      <t>LHV</t>
    </r>
  </si>
  <si>
    <t>AVI_CO2</t>
  </si>
  <si>
    <t>Fossiele fractie van CO2-uitstoot bij AVI's</t>
  </si>
  <si>
    <t>1 - percentage biogeen in emissiefactor</t>
  </si>
  <si>
    <r>
      <t>€/tCO</t>
    </r>
    <r>
      <rPr>
        <vertAlign val="subscript"/>
        <sz val="11"/>
        <rFont val="Arial"/>
        <family val="2"/>
      </rPr>
      <t>2</t>
    </r>
  </si>
  <si>
    <t>Transporttarieven op de lange termijn</t>
  </si>
  <si>
    <t>Categorie-specifiek en vast gedurende looptijd va beschikking</t>
  </si>
  <si>
    <r>
      <t>CO2 vermeden door tuinder per gasinput</t>
    </r>
    <r>
      <rPr>
        <vertAlign val="superscript"/>
        <sz val="11"/>
        <rFont val="Arial"/>
        <family val="2"/>
      </rPr>
      <t>3</t>
    </r>
  </si>
  <si>
    <r>
      <t>kg CO</t>
    </r>
    <r>
      <rPr>
        <vertAlign val="subscript"/>
        <sz val="11"/>
        <rFont val="Arial"/>
        <family val="2"/>
      </rPr>
      <t>2</t>
    </r>
    <r>
      <rPr>
        <sz val="11"/>
        <rFont val="Arial"/>
        <family val="2"/>
      </rPr>
      <t>/kWh</t>
    </r>
    <r>
      <rPr>
        <vertAlign val="subscript"/>
        <sz val="11"/>
        <rFont val="Arial"/>
        <family val="2"/>
      </rPr>
      <t>LHV</t>
    </r>
  </si>
  <si>
    <r>
      <t>Emissiefactor van gas aardgas (RVO) en gemiddelde reductiecoëfficiënt van 0,93.</t>
    </r>
    <r>
      <rPr>
        <vertAlign val="superscript"/>
        <sz val="11"/>
        <rFont val="Arial"/>
        <family val="2"/>
      </rPr>
      <t>5</t>
    </r>
  </si>
  <si>
    <r>
      <t>CO2 vermeden door tuinder per elektriciteitsoutput</t>
    </r>
    <r>
      <rPr>
        <vertAlign val="superscript"/>
        <sz val="11"/>
        <rFont val="Arial"/>
        <family val="2"/>
      </rPr>
      <t>4</t>
    </r>
  </si>
  <si>
    <r>
      <t>kg CO</t>
    </r>
    <r>
      <rPr>
        <vertAlign val="subscript"/>
        <sz val="11"/>
        <rFont val="Arial"/>
        <family val="2"/>
      </rPr>
      <t>2</t>
    </r>
    <r>
      <rPr>
        <sz val="11"/>
        <rFont val="Arial"/>
        <family val="2"/>
      </rPr>
      <t>/kWh</t>
    </r>
    <r>
      <rPr>
        <vertAlign val="subscript"/>
        <sz val="11"/>
        <rFont val="Arial"/>
        <family val="2"/>
      </rPr>
      <t>e</t>
    </r>
  </si>
  <si>
    <r>
      <t>Emissiefactor van gas aardgas (RVO) en gemiddelde reductiecoëfficiënt van 0,93.</t>
    </r>
    <r>
      <rPr>
        <vertAlign val="superscript"/>
        <sz val="11"/>
        <rFont val="Arial"/>
        <family val="2"/>
      </rPr>
      <t>6</t>
    </r>
  </si>
  <si>
    <t>Garantie van Oorsprong voor elektriciteit</t>
  </si>
  <si>
    <r>
      <t>€/kWh</t>
    </r>
    <r>
      <rPr>
        <vertAlign val="subscript"/>
        <sz val="11"/>
        <rFont val="Arial"/>
        <family val="2"/>
      </rPr>
      <t>e</t>
    </r>
  </si>
  <si>
    <r>
      <t>HBE</t>
    </r>
    <r>
      <rPr>
        <vertAlign val="superscript"/>
        <sz val="11"/>
        <rFont val="Arial"/>
        <family val="2"/>
      </rPr>
      <t>7</t>
    </r>
  </si>
  <si>
    <r>
      <t>kg CO</t>
    </r>
    <r>
      <rPr>
        <vertAlign val="subscript"/>
        <sz val="11"/>
        <rFont val="Arial"/>
        <family val="2"/>
      </rPr>
      <t>2</t>
    </r>
    <r>
      <rPr>
        <sz val="11"/>
        <rFont val="Arial"/>
        <family val="2"/>
      </rPr>
      <t>/GJ</t>
    </r>
    <r>
      <rPr>
        <vertAlign val="subscript"/>
        <sz val="11"/>
        <rFont val="Arial"/>
        <family val="2"/>
      </rPr>
      <t>LHV</t>
    </r>
  </si>
  <si>
    <t>RVO (2023) The Netherlands: list of fuels and standard CO2 emission factors</t>
  </si>
  <si>
    <t>Vermeden O&amp;M WKK/ketel bij tuinder</t>
  </si>
  <si>
    <r>
      <t>Op basis van  KWIN (2017), met verhouding 90% WKK en 10% ketel</t>
    </r>
    <r>
      <rPr>
        <vertAlign val="superscript"/>
        <sz val="11"/>
        <rFont val="Arial"/>
        <family val="2"/>
      </rPr>
      <t>8</t>
    </r>
  </si>
  <si>
    <t>Langetermijn vermeden O&amp;M WKK/ketel bij tuinder</t>
  </si>
  <si>
    <r>
      <t>Op basis van  KWIN (2017), met verhouding 90% WKK en 10% ketel</t>
    </r>
    <r>
      <rPr>
        <vertAlign val="superscript"/>
        <sz val="11"/>
        <rFont val="Arial"/>
        <family val="2"/>
      </rPr>
      <t>9</t>
    </r>
  </si>
  <si>
    <t>eff_gasketel</t>
  </si>
  <si>
    <t>Rendement gasketel</t>
  </si>
  <si>
    <r>
      <t>Voorlopige waarde van de maximale kosten voor ETS</t>
    </r>
    <r>
      <rPr>
        <vertAlign val="superscript"/>
        <sz val="11"/>
        <rFont val="Arial"/>
        <family val="2"/>
      </rPr>
      <t>10</t>
    </r>
  </si>
  <si>
    <r>
      <t>€/kWh</t>
    </r>
    <r>
      <rPr>
        <vertAlign val="subscript"/>
        <sz val="11"/>
        <rFont val="Arial"/>
        <family val="2"/>
      </rPr>
      <t>th</t>
    </r>
  </si>
  <si>
    <t>Allocatie_gratis_EUA_warmtenet</t>
  </si>
  <si>
    <t>Percentage gratis gealloceerde rechten bij levering aan warmtenet</t>
  </si>
  <si>
    <t>D_ketel_warmtenet_inflex</t>
  </si>
  <si>
    <t>Aanname aandeel gasketelwarmtevervanging in warmtenet (niet-flexibele warmte)</t>
  </si>
  <si>
    <t>D_ketel_warmtenet_flex</t>
  </si>
  <si>
    <t>Aanname aandeel gasketelwarmtevervanging in warmtenet (flexibele warmte)</t>
  </si>
  <si>
    <t>Niet_CL_offshore_gas</t>
  </si>
  <si>
    <t>Aandeel niet-Carbon-Leakage-gevoelig offshore gaswinning in EU ETS-fase 4</t>
  </si>
  <si>
    <t>COP</t>
  </si>
  <si>
    <t>Coefficient of Performance, ook wel Seasonal Performance Factor (SPF)</t>
  </si>
  <si>
    <t>Gasbesparing_EOP</t>
  </si>
  <si>
    <t>Verhouding vermeden aardgas op gebruikte elektriciteit</t>
  </si>
  <si>
    <r>
      <t>kWh</t>
    </r>
    <r>
      <rPr>
        <vertAlign val="subscript"/>
        <sz val="11"/>
        <rFont val="Arial"/>
        <family val="2"/>
      </rPr>
      <t xml:space="preserve">LHV </t>
    </r>
    <r>
      <rPr>
        <sz val="11"/>
        <rFont val="Arial"/>
        <family val="2"/>
      </rPr>
      <t>gas/kWh</t>
    </r>
    <r>
      <rPr>
        <vertAlign val="subscript"/>
        <sz val="11"/>
        <rFont val="Arial"/>
        <family val="2"/>
      </rPr>
      <t>e,input</t>
    </r>
  </si>
  <si>
    <t>Dit is een vast getal dat is berekend op basis van informatie uit de marktconsultatie</t>
  </si>
  <si>
    <t>Emfac_waterstof</t>
  </si>
  <si>
    <r>
      <t>SMR heeft een emissiefactor van 9 kg CO</t>
    </r>
    <r>
      <rPr>
        <vertAlign val="subscript"/>
        <sz val="11"/>
        <rFont val="Arial"/>
        <family val="2"/>
      </rPr>
      <t>2</t>
    </r>
    <r>
      <rPr>
        <sz val="11"/>
        <rFont val="Arial"/>
        <family val="2"/>
      </rPr>
      <t xml:space="preserve"> /r kg H</t>
    </r>
    <r>
      <rPr>
        <vertAlign val="subscript"/>
        <sz val="11"/>
        <rFont val="Arial"/>
        <family val="2"/>
      </rPr>
      <t>2</t>
    </r>
    <r>
      <rPr>
        <sz val="11"/>
        <rFont val="Arial"/>
        <family val="2"/>
      </rPr>
      <t xml:space="preserve"> (0,229 kg CO</t>
    </r>
    <r>
      <rPr>
        <vertAlign val="subscript"/>
        <sz val="11"/>
        <rFont val="Arial"/>
        <family val="2"/>
      </rPr>
      <t>2</t>
    </r>
    <r>
      <rPr>
        <sz val="11"/>
        <rFont val="Arial"/>
        <family val="2"/>
      </rPr>
      <t xml:space="preserve"> / kWh</t>
    </r>
    <r>
      <rPr>
        <vertAlign val="subscript"/>
        <sz val="11"/>
        <rFont val="Arial"/>
        <family val="2"/>
      </rPr>
      <t>HHV</t>
    </r>
    <r>
      <rPr>
        <sz val="11"/>
        <rFont val="Arial"/>
        <family val="2"/>
      </rPr>
      <t xml:space="preserve"> H</t>
    </r>
    <r>
      <rPr>
        <vertAlign val="subscript"/>
        <sz val="11"/>
        <rFont val="Arial"/>
        <family val="2"/>
      </rPr>
      <t>2</t>
    </r>
    <r>
      <rPr>
        <sz val="11"/>
        <rFont val="Arial"/>
        <family val="2"/>
      </rPr>
      <t>)</t>
    </r>
  </si>
  <si>
    <r>
      <t>kg CO</t>
    </r>
    <r>
      <rPr>
        <vertAlign val="subscript"/>
        <sz val="11"/>
        <rFont val="Arial"/>
        <family val="2"/>
      </rPr>
      <t>2</t>
    </r>
    <r>
      <rPr>
        <sz val="11"/>
        <rFont val="Arial"/>
        <family val="2"/>
      </rPr>
      <t>/kWh</t>
    </r>
    <r>
      <rPr>
        <vertAlign val="subscript"/>
        <sz val="11"/>
        <rFont val="Arial"/>
        <family val="2"/>
      </rPr>
      <t>HHV</t>
    </r>
    <r>
      <rPr>
        <sz val="11"/>
        <rFont val="Arial"/>
        <family val="2"/>
      </rPr>
      <t xml:space="preserve"> H</t>
    </r>
    <r>
      <rPr>
        <vertAlign val="subscript"/>
        <sz val="11"/>
        <rFont val="Arial"/>
        <family val="2"/>
      </rPr>
      <t>2</t>
    </r>
  </si>
  <si>
    <t>Techno-Economic Evaluation of SMR Based Standalone (Merchant) Hydrogen Plant with CCS</t>
  </si>
  <si>
    <t>Alle gemiddelden zijn ongewogen.</t>
  </si>
  <si>
    <t>Exclusief de uren met negatieve prijzen.</t>
  </si>
  <si>
    <t>Uitgaande van ketel in tuinbouw.</t>
  </si>
  <si>
    <t>WKK tuinbouw.</t>
  </si>
  <si>
    <t xml:space="preserve">De ratio die is genomen voor het gas dat een tuinder bespaart nu hij zelf niet meer die CO2 hoeft te genereren, per CO2 die hij krijgt geleverd. Bron reductiecoefficient: WEcR-studie (Van der velden &amp; Smit, 2020). </t>
  </si>
  <si>
    <t>Zie voetnoot 5 en met de aanname dat het elektrisch rendement van de WKK 37.5% is.</t>
  </si>
  <si>
    <t>Vermenigvuldigd met 2 (omdat elke geproduceerde geavanceerde hernieuwbare brandstofeenheid 2 HBE’s krijgt).</t>
  </si>
  <si>
    <t>Iinflatie t/m 2022.</t>
  </si>
  <si>
    <t>Inflatie t/m 7,5 jaar vooruit.</t>
  </si>
  <si>
    <t>Indien alle rechten zouden moeten worden ingekocht (per kWh geleverde warmte), indien de warmte zou zijn opgewekt met aardgas in een ketel (rekening houdend met een aangenomen ketelrendement en emissiefactor van gas)</t>
  </si>
  <si>
    <r>
      <t>(LT_e / (1,02)</t>
    </r>
    <r>
      <rPr>
        <vertAlign val="superscript"/>
        <sz val="10"/>
        <rFont val="Arial"/>
        <family val="2"/>
      </rPr>
      <t xml:space="preserve">7 </t>
    </r>
    <r>
      <rPr>
        <sz val="10"/>
        <rFont val="Arial"/>
        <family val="2"/>
      </rPr>
      <t>+ WK x (LT_g[LHV] / (1,02)</t>
    </r>
    <r>
      <rPr>
        <vertAlign val="superscript"/>
        <sz val="10"/>
        <rFont val="Arial"/>
        <family val="2"/>
      </rPr>
      <t>7</t>
    </r>
    <r>
      <rPr>
        <sz val="10"/>
        <rFont val="Arial"/>
        <family val="2"/>
      </rPr>
      <t xml:space="preserve"> + EB3) / 90%) / (1 + WK-factor 1,13) </t>
    </r>
  </si>
  <si>
    <r>
      <t>(LT_e / (1,02)</t>
    </r>
    <r>
      <rPr>
        <vertAlign val="superscript"/>
        <sz val="10"/>
        <rFont val="Arial"/>
        <family val="2"/>
      </rPr>
      <t>7</t>
    </r>
    <r>
      <rPr>
        <sz val="10"/>
        <rFont val="Arial"/>
        <family val="2"/>
      </rPr>
      <t xml:space="preserve"> + WK x (LT_g[LHV] / (1,02)</t>
    </r>
    <r>
      <rPr>
        <vertAlign val="superscript"/>
        <sz val="10"/>
        <rFont val="Arial"/>
        <family val="2"/>
      </rPr>
      <t xml:space="preserve">7 </t>
    </r>
    <r>
      <rPr>
        <sz val="10"/>
        <rFont val="Arial"/>
        <family val="2"/>
      </rPr>
      <t xml:space="preserve">+ EB1) / 90%) / (1 + WK-factor 0,62) </t>
    </r>
  </si>
  <si>
    <r>
      <t>(LT_e / (1,02)</t>
    </r>
    <r>
      <rPr>
        <vertAlign val="superscript"/>
        <sz val="10"/>
        <rFont val="Arial"/>
        <family val="2"/>
      </rPr>
      <t>7</t>
    </r>
    <r>
      <rPr>
        <sz val="10"/>
        <rFont val="Arial"/>
        <family val="2"/>
      </rPr>
      <t xml:space="preserve"> + WK x (LT_g[LHV] / (1,02)</t>
    </r>
    <r>
      <rPr>
        <vertAlign val="superscript"/>
        <sz val="10"/>
        <rFont val="Arial"/>
        <family val="2"/>
      </rPr>
      <t xml:space="preserve">7 </t>
    </r>
    <r>
      <rPr>
        <sz val="10"/>
        <rFont val="Arial"/>
        <family val="2"/>
      </rPr>
      <t xml:space="preserve">+ EB1) / 90%) / (1 + WK-factor 0,69) </t>
    </r>
  </si>
  <si>
    <r>
      <t>(LT_e / (1,02)</t>
    </r>
    <r>
      <rPr>
        <vertAlign val="superscript"/>
        <sz val="10"/>
        <rFont val="Arial"/>
        <family val="2"/>
      </rPr>
      <t>7</t>
    </r>
    <r>
      <rPr>
        <sz val="10"/>
        <rFont val="Arial"/>
        <family val="2"/>
      </rPr>
      <t xml:space="preserve"> + WK x (LT_g[LHV] / (1,02)</t>
    </r>
    <r>
      <rPr>
        <vertAlign val="superscript"/>
        <sz val="10"/>
        <rFont val="Arial"/>
        <family val="2"/>
      </rPr>
      <t>7</t>
    </r>
    <r>
      <rPr>
        <sz val="10"/>
        <rFont val="Arial"/>
        <family val="2"/>
      </rPr>
      <t xml:space="preserve"> + EB3) / 90%) / (1 + WK-factor 0,62) </t>
    </r>
  </si>
  <si>
    <r>
      <t>(LT_e / (1,02)</t>
    </r>
    <r>
      <rPr>
        <vertAlign val="superscript"/>
        <sz val="10"/>
        <rFont val="Arial"/>
        <family val="2"/>
      </rPr>
      <t xml:space="preserve">7 </t>
    </r>
    <r>
      <rPr>
        <sz val="10"/>
        <rFont val="Arial"/>
        <family val="2"/>
      </rPr>
      <t>+ WK x (LT_g[LHV] / (1,02)</t>
    </r>
    <r>
      <rPr>
        <vertAlign val="superscript"/>
        <sz val="10"/>
        <rFont val="Arial"/>
        <family val="2"/>
      </rPr>
      <t>7</t>
    </r>
    <r>
      <rPr>
        <sz val="10"/>
        <rFont val="Arial"/>
        <family val="2"/>
      </rPr>
      <t xml:space="preserve"> + EB3) / 90%) / (1 + WK-factor 1,10) </t>
    </r>
  </si>
  <si>
    <t xml:space="preserve">Voor deze categorie geldt dat geen subsidie mag zijn verstrekt voor de hernieuwbare elektriciteit die wordt gebruikt.  </t>
  </si>
  <si>
    <t>Biomassavergisting gecombineerde opwekking van elektriciteit en warmte</t>
  </si>
  <si>
    <t>Biomassavergisting warmte</t>
  </si>
  <si>
    <t>Biomassavergisting en vergassing hernieuwbaar gas</t>
  </si>
  <si>
    <t>Biomassaverbranding warmte</t>
  </si>
  <si>
    <t>Directe inzet van houtpellets voor industriële toepassingen ≥ 5 MWth</t>
  </si>
  <si>
    <t>Ketel op vloeibare biomassa voor stadsverwarming ≥ 0,5 MWth</t>
  </si>
  <si>
    <t>Ketel op vloeibare biomassa voor overige toepassingen ≥ 0,5 MWth</t>
  </si>
  <si>
    <t>Hernieuwbare warmte (en gecombineerde opwekking)</t>
  </si>
  <si>
    <t>Zon-PV met lichte dakaanpassing</t>
  </si>
  <si>
    <t>Zon-PV natuurinclusief</t>
  </si>
  <si>
    <t>Zon-PV zonvolgend natuurinclusief</t>
  </si>
  <si>
    <t>Tekst energieopbrengstberekening zon-PV-installatie met lichte dakaanpassing</t>
  </si>
  <si>
    <t>Tekst energieopbrengstberekening zon-PV-installatie natuurinclusief met zonvolgsysteem</t>
  </si>
  <si>
    <t>Tekst energieopbrengstberekening zon-PV-installatie natuurinclusief zonder zonvolgsysteem</t>
  </si>
  <si>
    <t>Tekst lucht-water warmtepomp 70 graden eis</t>
  </si>
  <si>
    <t>Tekst lucht-water warmtepomp 40 graden eis</t>
  </si>
  <si>
    <t>Warmtepomp procesgeïntegreerd</t>
  </si>
  <si>
    <t>Lucht-water warmtepomp 70 graden eis</t>
  </si>
  <si>
    <t>Lucht-water warmtepomp 40 graden eis</t>
  </si>
  <si>
    <t>Tekst warmtepomp procesgeïntegreerd</t>
  </si>
  <si>
    <t>Elektroboiler met hogetemperatuuropslag</t>
  </si>
  <si>
    <t>Tekst elektroboiler met hogetemperatuuropslag</t>
  </si>
  <si>
    <t>Aquathermie, geen basislast, verwarming gebouwde omgeving (3500 vollasturen)</t>
  </si>
  <si>
    <t>Aquathermie, basislast, verwarming gebouwde omgeving, nieuw warmteoverdrachtstation (6000 vollasturen)</t>
  </si>
  <si>
    <t xml:space="preserve">Voor deze categorie geldt een minimale COP-eis voor de warmtepomp en dat warmte uitsluitend wordt geleverd aan gebouwde omgeving via een nieuw warmteoverdrachtsstation!  </t>
  </si>
  <si>
    <t xml:space="preserve">Voor deze categorie geldt een minimale COP-eis voor de warmtepomp en dat de warmte uitsluitend wordt geleverd voor verwarming van de gebouwde omgeving! </t>
  </si>
  <si>
    <t>Lucht-water-warmtepomp voor verwarming bestaande gebouwde omgeving, geen basislast, middentemperatuur (≥ 70 ⁰C)</t>
  </si>
  <si>
    <t xml:space="preserve">Voor deze categorie geldt een minimale COP eis en temperatuurseis voor de warmtepomp en dat de warmte uitsluitend wordt geleverd voor objecten in de gebouwde omgeving! </t>
  </si>
  <si>
    <r>
      <t>U onderbouwt de aangevraagde energieproductie uit de lucht-water warmtepomp. Dit doet u onder andere door het opstellen van een energiebalans over het jaar. Deze bevat temperaturen en debieten. Dit kunt u doen door bijvoorbeeld de specificatie-sheets van de installatie mee te sturen. Daarnaast stuurt u een processchema van de gehele productie-installatie mee, met daarin aangegeven de lucht-water warmtepomp. Ook geeft u een specificatie van het energetisch rendement van de warmtepomp (COP) bij ontwerpcondities. 
Aan de lucht-water warmtepomp worden temperatuur- en rendementseisen gesteld. De leveringstemperatuur van de warmtepomp bedraagt tenminste 70 ⁰C in het stookseizoen bij -10</t>
    </r>
    <r>
      <rPr>
        <sz val="10"/>
        <rFont val="Calibri"/>
        <family val="2"/>
      </rPr>
      <t>⁰</t>
    </r>
    <r>
      <rPr>
        <sz val="10"/>
        <rFont val="Arial"/>
        <family val="2"/>
      </rPr>
      <t xml:space="preserve"> C buitentemperatuur of lager. Bij hogere buitentemperaturen mag de warmtepomp ook op een lagere aanvoertemperatuur leveren. De COP-waarde van de warmtepomp dient ten minste 3,0 te bedragen bij gemiddelde gebruiksomstandigheden. De geproduceerde warmte mag enkel worden gebruikt voor de verwarming van bestaande gebouwen in de gebouwde omgeving. </t>
    </r>
  </si>
  <si>
    <t>U onderbouwt de aangevraagde energieproductie uit warmteontrekking aan drinkwater, afvalwater, zeewater of oppervlaktewater. Dit doet u onder andere door het opstellen van een massa-energiebalans. Deze bevat temperaturen en debieten. Dit kunt u doen door bijvoorbeeld de specificatie-sheets van de installatie mee te sturen. Bij complexere installaties stuurt u een processchema van de installatie mee. Ook geeft u een specificatie van het energetisch rendement van de warmtepomp (COP) bij ontwerpcondities.</t>
  </si>
  <si>
    <t xml:space="preserve">Tekst energieopbrengstberekening thermische energie uit water met nieuw warmteoverdrachtstation </t>
  </si>
  <si>
    <t>Tekst energieopbrengstberekening thermische energie water</t>
  </si>
  <si>
    <t>Aquathermie met nieuw warmteoverdrachtsstation</t>
  </si>
  <si>
    <t>Aquathermie</t>
  </si>
  <si>
    <t xml:space="preserve">U onderbouwt de aangevraagde energieproductie uit warmteontrekking aan drinkwater, afvalwater, zeewater of oppervlaktewater. Dit doet u onder andere door het opstellen van een massa-energiebalans. Deze bevat temperaturen en debieten. Dit kunt u doen door bijvoorbeeld de specificatie-sheets van de installatie mee te sturen. Bij complexere installaties stuurt u een processchema van de installatie mee. Ook geeft u een specificatie van het energetisch rendement van de warmtepomp (COP) bij ontwerpcondities. De productie-installatie mag niet gebruikt worden voor koudelevering. Tevens toont u aan dat er sprake is van een nieuw warmteoverdrachtsstation. </t>
  </si>
  <si>
    <t xml:space="preserve">U vraagt subsidie aan in een categorie natuurinclusief grondgebonden zon-PV met een zonvolgend systeem. Ter onderbouwing van de jaarlijks te verwachten netto elektriciteitsproductie moet u een zonne-energie-opbrengstberekening meesturen. Aan dit onderzoek worden nadere eisen gesteld. Meer informatie vindt u in de 'Handleiding haalbaarheidstudie SDE++'. Daarnaast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Om te voldoen aan de natuurinclusief eisen dient de open ruimte tussen de tafels met zonnepanelen, van bovenaf gezien, minimaal 25% te bedragen. Daarnaast kunt u alleen voor de categorie natuurinclusief aanvragen als de vergunning die op grond van de Omgevingswet noodzakelijk is voor de realisatie van de productie-installatie de volgende voorwaarde bevat dat:
a. er van bovenaf gezien minimaal 25% open ruimte tussen de tafels met zonnepanelen aanwezig is;
b. er een inrichtingsplan en beheerplan is dat ten doel heeft om verslechtering van de bodemkwaliteit, waterkwaliteit en ecologische kwaliteit gedurende de subsidieperiode te voorkomen; 
c. de subsidie-ontvanger de effecten van de productie-installatie op de bodemkwaliteit, waterkwaliteit en biodiversiteit monitort en, indien nodig, aanvullende maatregelen neemt om verslechtering van de bodemkwaliteit, waterkwaliteit en ecologische kwaliteit gedurende de subsidieperiode te voorkomen; en 
d. de subsidie-ontvanger een nulmeting uitvoert om de huidige waarde van de bodemkwaliteit, de waterkwaliteit en de ecologische kwaliteit vast te stellen.
 </t>
  </si>
  <si>
    <t xml:space="preserve">U vraagt aan in de categorie procesgeïntegreerde warmtepomp waarbij warmte wordt hergebruikt in een op het moment van de aanvraag bestaand verdampingsproces door middel van een of meerdere elektrisch aangedreven warmtepompen met een totaal thermisch vermogen van minimaal 500 kWth waarbij de hoeveelheid bespaarde ingaande warmte per hoeveelheid extra opgenomen elektriciteit bij vollast bedrijf bedraagt ten minste 3,0 bedraagt, bepaald op een fictieve gesloten omhulling waarbinnen zich de warmtepomp of warmtepompen en de tot de productie-installatie behorende procesaanpassingen bevinden. Het bestaande verdampingsproces wordt ten minste aangepast door: 
a) over te stappen van een bedrijfsvoering waarbij de reactor telkens een bepaalde hoeveelheid product verwerkt, waarbij de reactor helemaal geleegd moet worden alvorens te worden gevuld, naar een bedrijfsvoering waarbij voortdurend product wordt toegevoegd en verwijderd, waarbij het verdampingsproces behoudens uitval of pauzes in stationaire toestand plaatsvindt; of 
b) het plaatsen van een nieuw verdampingsvat of een nieuwe verdampingsreactor om de warmtepomp te kunnen integreren; of 
c) het installeren van een nieuwe verdampingskap of een nieuwe warmtewisselaar ten behoeve van het terugwinnen van latente warmte uit de verdampingsinstallatie. 
U onderbouwt welke van de hierboven genoemde procesaanpassingen u gaat doen. Daarnaast onderbouwt u de hoeveelheid warmte die het elektrisch aangedreven procesgeintegreerde warmtepompsysteem op jaarbasis gaat leveren. U geeft daarbij aan voor welk industrieel proces het warmtepompsysteem wordt toegepast en voegt een processchema toe met temperaturen en debieten. Ook geeft u een berekening van de uitgespaarde hoeveelheid warmte en het extra opgenomen elektrische energie van het warmtepompsysteem. U toont aan dat het geïntegreerde warmtepompsysteem kan voldoen aan de COP-eis van 3,0 (COP = reductie warmtevraag gedeeld door de extra opgenomen elektrische energie) binnen het bestaande verdampingsproces waarbij de warmtepomp wordt toegepast. Tenslotte geldt dat de productie-installatie warmte produceert die op dezelfde locatie wordt gebruikt voor een industriële toepassing, niet zijnde tuinbouw, en dat er geen koude wordt geleverd. </t>
  </si>
  <si>
    <t xml:space="preserve">U vraagt aan voor de categorie elektroboiler met thermische opslag met een vermogen van minimaal 2 MWth voor gebruik op locatie voor een industriële toepassing, niet zijnde tuinbouw, waarbij sprake is van de uitgestelde levering van warmte door de toepassing van thermische opslag. 
U onderbouwt de aangevraagde warmteproductie uit elektriciteit. U stuurt een processchema van de installatie mee waarmee u inzichtelijk maakt hoe groot de totale warmtevraag is van de warmteafnemers en op welk temperatuurniveau. Daarbij toont u aan dat de warmte van de elektroboiler wordt toegepast in een verwarmingssysteem met een aanvoertemperatuur aan de gebruikerszijde van ten minste 100 ⁰C of in een stoomsysteem. Eventueel vermeldt u, indien er ook andere warmteopwekkers met de elektroboiler warmtezijdig zijn verbonden, welke dat zijn en wat het vermogen daarvan is. Voor de elektrische aansluiting van de elektroboiler geldt dat deze minimaal het nominale vermogen van de elektrische boiler bedraagt. 
Het nominaal elektrisch vermogen van de productie-installatie bedraagt minstens anderhalf keer het nominaal thermisch vermogen van de productie-installatie, waarbij de opslagcapaciteit ten minste 3 MWh per MW thermisch vermogen van de productie-installatie moet bedragen. Het nominaal thermisch vermogen van de productie-installatie bedraagt ten hoogste 50 MWth. </t>
  </si>
  <si>
    <t>Voor deze categorie geldt een minimale COP eis voor de warmtepomp! En naast een maximum aantal van 3000 subsidiabele vollasturen per jaar geldt een maximum van 4.000 productie-uren (bedrijfsuren) per jaar!</t>
  </si>
  <si>
    <t xml:space="preserve">Voor deze categorie geldt een minimale COP-eis! </t>
  </si>
  <si>
    <t xml:space="preserve">U onderbouwt de aangevraagde energieproductie uit de lucht-water warmtepomp. Dit doet u onder andere door het opstellen van een energiebalans over het jaar. Deze bevat temperaturen en debieten. Dit kunt u doen door bijvoorbeeld de specificatie-sheets van de installatie mee te sturen. Daarnaast stuurt u een processchema van de gehele productie-installatie mee, met daarin aangegeven de lucht-water warmtepomp. Ook geeft u een specificatie van het energetisch rendement van de warmtepomp (COP) bij ontwerpcondities. 
Aan de lucht-water warmtepomp worden temperatuur- en rendementseisen gesteld. De leveringstemperatuur van de warmtepomp bedraagt tenminste 40 ⁰C in het stookseizoen bij -10⁰ C buitentemperatuur of lager. Bij hogere buitentemperaturen mag de warmtepomp ook op een lagere aanvoertemperatuur leveren. De COP-waarde van de warmtepomp dient ten minste 4,0 te bedragen bij gemiddelde gebruiksomstandigheden. De geproduceerde warmte mag enkel worden gebruikt voor de verwarming van bestaande gebouwen en tuinbouwkassen. </t>
  </si>
  <si>
    <r>
      <t>CCU - Nieuwe post-combustion CO</t>
    </r>
    <r>
      <rPr>
        <sz val="10"/>
        <rFont val="Calibri"/>
        <family val="2"/>
      </rPr>
      <t>₂</t>
    </r>
    <r>
      <rPr>
        <sz val="10"/>
        <rFont val="Arial"/>
        <family val="2"/>
      </rPr>
      <t xml:space="preserve">-afvang bij biomassaverbrandingsinstallatie </t>
    </r>
    <r>
      <rPr>
        <sz val="10"/>
        <rFont val="Calibri"/>
        <family val="2"/>
      </rPr>
      <t>≤ 50 MWth</t>
    </r>
    <r>
      <rPr>
        <sz val="10"/>
        <rFont val="Arial"/>
        <family val="2"/>
      </rPr>
      <t>, vloeibaar, nieuwe vervloeiingsinstallatie (PBL variant 7B)</t>
    </r>
  </si>
  <si>
    <r>
      <t>CCU - Nieuwe post-combustion CO</t>
    </r>
    <r>
      <rPr>
        <sz val="10"/>
        <rFont val="Calibri"/>
        <family val="2"/>
      </rPr>
      <t>₂</t>
    </r>
    <r>
      <rPr>
        <sz val="10"/>
        <rFont val="Arial"/>
        <family val="2"/>
      </rPr>
      <t>-afvang bij bestaande afval- of biomassaverbrandingsinstallatie &gt; 50 MWth, vloeibaar transport, nieuwe vervloeiingsinstallatie (PBL variant 6C)</t>
    </r>
  </si>
  <si>
    <r>
      <t>CCU - Nieuwe post-combustion CO</t>
    </r>
    <r>
      <rPr>
        <sz val="10"/>
        <rFont val="Calibri"/>
        <family val="2"/>
      </rPr>
      <t>₂</t>
    </r>
    <r>
      <rPr>
        <sz val="10"/>
        <rFont val="Arial"/>
        <family val="2"/>
      </rPr>
      <t>-afvang bij bestaande afval- of biomassaverbrandingsinstallatie &gt; 50 MWth, gasvormig transport, nieuwe transportleiding (PBL variant 6B)</t>
    </r>
  </si>
  <si>
    <r>
      <t>CCU - Nieuwe post-combustion CO</t>
    </r>
    <r>
      <rPr>
        <sz val="10"/>
        <rFont val="Calibri"/>
        <family val="2"/>
      </rPr>
      <t>₂</t>
    </r>
    <r>
      <rPr>
        <sz val="10"/>
        <rFont val="Arial"/>
        <family val="2"/>
      </rPr>
      <t>-afvang bij bestaande afval- of biomassaverbrandingsinstallatie &gt; 50 MWth, gasvormig transport (bestaande) transportleiding (PBL variant 6A)</t>
    </r>
  </si>
  <si>
    <t>Check zon-PV wind verwachting overschrijding opbrengstgrensbedrag</t>
  </si>
  <si>
    <t>Subsidie verwacht? (Herleid correctiebedrag jaar 1 &lt; basisbedrag)</t>
  </si>
  <si>
    <t xml:space="preserve">U vraagt subsidie aan voor een drijvende zon-PV-installatie zonder zonvolgsysteem. U hoeft geen energie-opbrengstberekening toe te voegen. Bij een drijvende zon-PV-installatie zonder zonvolgsysteem wordt de energieopbrengst (kWh/jaar) berekend door het piekvermogen van de installatie (in kWp) te vermenigvuldigen met 855 vollasturen/jaar. Wel wordt u gevraagd om een gedetailleerde tekening op schaal met oriëntatie (richting noorden) waarop de aangevraagde zon-PV-installatie nauwkeurig op de beoogde locatie is ingetekend, toe te voegen. Zijn of komen er op de beoogde locatie meer installaties, dan geeft u dit duidelijk aan. Uit de intekening moet ook de oriëntatie van de installatie blijken. </t>
  </si>
  <si>
    <t xml:space="preserve">U vraagt subsidie aan voor een grondgebonden zon-PV-installatie zonder zonvolgsysteem. U hoeft geen energie-opbrengstberekening toe te voegen. Bij een grondgebonden zon-PV-installatie zonder zonvolgsysteem wordt de energieopbrengst (kWh/jaar) berekend door het piekvermogen van de installatie (in kWp) te vermenigvuldigen met 855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t>
  </si>
  <si>
    <t xml:space="preserve">U vraagt subsidie aan voor een natuurinclusief grondgebonden zon-PV-installatie zonder zonvolgsysteem. U hoeft geen energie-opbrengstberekening toe te voegen. Bij een grondgebonden zon-PV-installatie zonder zonvolgsysteem wordt de energieopbrengst (kWh/jaar) berekend door het piekvermogen van de installatie (in kWp) te vermenigvuldigen met 855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Om te voldoen aan de natuurinclusief eisen dient de open ruimte tussen de tafels met zonnepanelen, van bovenaf gezien, minimaal 25% te bedragen. Daarnaast kunt u alleen voor de categorie natuurinclusief aanvragen als de vergunning die op grond van de Omgevingswet noodzakelijk is voor de realisatie van de productie-installatie de volgende voorwaarde bevat dat:
a.	er van bovenaf gezien minimaal 25% open ruimte tussen de tafels met zonnepanelen aanwezig is;
b.	er een inrichtingsplan en beheerplan is dat ten doel heeft om verslechtering van de bodemkwaliteit, waterkwaliteit en ecologische kwaliteit gedurende de subsidieperiode te voorkomen; 
c.	de subsidie-ontvanger de effecten van de productie-installatie op de bodemkwaliteit, waterkwaliteit en biodiversiteit monitort en, indien nodig, aanvullende maatregelen neemt om verslechtering van de bodemkwaliteit, waterkwaliteit en ecologische kwaliteit gedurende de subsidieperiode te voorkomen; en 
d.	de subsidie-ontvanger een nulmeting uitvoert om de huidige waarde van de bodemkwaliteit, de waterkwaliteit en de ecologische kwaliteit vast te stellen.
 </t>
  </si>
  <si>
    <t xml:space="preserve">U hoeft geen energie-opbrengstberekening toe te voegen. Bij een gebouwgebonden zon-PV-installatie wordt de energieopbrengst (kWh/jaar) berekend door het piekvermogen van de installatie (in kWp) te vermenigvuldigen met 840 vollasturen/jaar. 
Omdat u subsidie aanvraagt voor een categorie gebouwgebonden zon-PV-installatie waarbij het dak van een bestaand gebouw constructief moet worden aangepast of een draagconstructie moet worden toegepast die het dak ontlast en waarbij deze constructieve dakaanpassing of draagconstructie noodzakelijk is voor de realisatie van de productie-installatie, danwel bij het gebruik van het dak van een bestaand gebouw gebruik zal worden gemaakt van een productie-installatie met een maximaal gewicht van 10 kilogram per vierkante meter met zonnepanelen bedekt dakoppervlak wordt u  gevraagd toe te lichten welke aanpassing u gaat doen aan het dak om de plaatsing van de zon-PV-installatie mogelijk te maken tegen welke kosten. Of als u lichtgewicht zonnepanelen gaat plaatsen een onderbouwing van de kosten van de lichtgewichtpanelen. Het is belangrijk dat u aannemelijk maakt dat ook bij deze extra investeringskosten het project economisch haalbaar is. 
Daarbij bent u verplicht een 'Verklaring draagkracht dakconstructie' bij uw aanvraag te voegen (het model vindt u op de website van RVO). In de verklaring vult de constructeur in wat er aan de constructie moet worden aangepast om deze geschikt te maken. 
Ten slotte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Bereken het beschikbare dakoppervlak en houd rekening met lichtstraten en klimaatinstallaties die op het dak staan. 
</t>
  </si>
  <si>
    <t xml:space="preserve">U vraagt subsidie aan in de categorie wind op land, hoogtebeperkt. Ter onderbouwing van de jaarlijks te verwachten energieproductie (netto P50-waarde) moet u een windenergie-opbrengstberekening meesturen. Aan dit onderzoek worden nadere eisen gesteld. Meer informatie vindt u in de 'Handleiding haalbaarheidstudie SDE++’.
Daarnaast geeft u een onderbouwing dat er op de locatie van de productie-installatie sprake is van een hoogterestrictie bij of krachtens landelijke wet- en regelgeving in verband met de aanwezigheid van een luchthaven in de omgeving waardoor de tiphoogte van de windturbine beperkt is tot 150 meter of lager. Vanaf 2024 komen ook projecten voor deze categorie in aanmerking als zij hogere turbines niet kunnen realiseren in verband met mogelijke verstoring van het militair radarbeeld. Het gaat hierbij om productie-installaties die worden gerealiseerd in een plaatselijk luchtverkeersleidingsgebied rond de luchthavens Schiphol, De Kooy, Deelen, Eindhoven, Gilze-Rijen, Leeuwarden, De Peel, Volkel, Woensdreacht of het boven Nederlands grondgebied gelegen deel van de Kleine-Brogel. Deze gebieden zijn vastgesteld door de Minister van Infrastructuur en Waterstaat en zijn  opgenomen in hoofdstuk ENR 6 van de luchtvaartgids (als bedoeld in artikel 605, onderdeel a, onder 1.vijfde lid van de Regeling luchtverkeersdienstverlening van het Luchtvaartreglement, hoofdstuk ENR 6). 
</t>
  </si>
  <si>
    <t xml:space="preserve">U vraagt subsidie aan voor een gebouwgebonden zon-PV-installatie. U hoeft geen energie-opbrengstberekening toe te voegen. Bij een gebouwgebonden zon-PV-installatie wordt de energieopbrengst (kWh/jaar) berekend door het piekvermogen van de installatie (in kWp) te vermenigvuldigen met 840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Bereken het beschikbare dakoppervlak en houd rekening met lichtstraten en klimaatinstallaties die op het dak staan. 
Ten slotte bent u verplicht om het ‘Verklaring draagkracht dakconstructie’ bij uw aanvraag te voegen (het model vindt u op de website van RVO). Hierin moet een constructeur een verklaring geven over de belastbaarheid van het dak of de gevel volgens het Besluit bouwwerken leefomgeving. Het onderzoek laat u uitvoeren en ondertekenen door een constructeur.  Reden voor het invoeren van deze eis is dat de realisatie van gebouw gebonden projecten achterblijft op de verwachting. Eén van de meest aangegeven redenen hiervoor is dat na het ontvangen van een beschikking het dak alsnog niet geschikt blijkt en de kosten om het dak geschikt te maken te hoog zijn. </t>
  </si>
  <si>
    <t>Allesvergisting voortzetting, gecombineerde opwekking</t>
  </si>
  <si>
    <t xml:space="preserve">Monomestvergisting voortzetting, gecombineerde opwekking ≤ 450 kW </t>
  </si>
  <si>
    <t>Allesvergisting voortzetting, warmte</t>
  </si>
  <si>
    <t>Monomestvergisting voortzetting, warmte ≤ 450 kW</t>
  </si>
  <si>
    <t>Allesvergisting voortzetting, hernieuwbaar gas</t>
  </si>
  <si>
    <t>Monomestvergisting voortzetting ≤ 450 kW, hernieuwbaar gas</t>
  </si>
  <si>
    <t xml:space="preserve">Grote ketel op vaste of vloeibare biomassa ≥ 5 MWth, voortzetting </t>
  </si>
  <si>
    <t>Tekst biomassa voortzetting (renovatie)</t>
  </si>
  <si>
    <t>Tekst biomassa extra faciliteit (ombouw)</t>
  </si>
  <si>
    <t>Biomassa extra faciliteit (ombouw)</t>
  </si>
  <si>
    <t>Biomassa voortzetting (renovatie)</t>
  </si>
  <si>
    <t>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Daarnaast geeft u aan in welke extra faciliteit (ombouw) u gaat investeren.</t>
  </si>
  <si>
    <t>Tekst biomassa voortzetting (renovatie), extra eisen</t>
  </si>
  <si>
    <t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Indien u gebruik maakt van houtige biomassa gelden minimum temperatuureisen voor toepassing van de warmte. Geeft u in dat geval een onderbouwing dat de geproduceerde warmte wordt toegepast in een verwarmingssysteem met een aanvoertemperatuur aan de gebruikerszijde van ten minste 100 °C in het stookseizoen of in een stoomsysteem (met gebruikerszijde wordt de eerste gebruiker van de warmte bedoeld).
Daarnaast stelt u een renovatieplan op waaruit blijkt dat de productie-installatie geschikt wordt gemaakt om 12 jaar door te kunnen produceren.
</t>
  </si>
  <si>
    <t>Biomassa voortzetting (renovatie), extra eisen</t>
  </si>
  <si>
    <r>
      <t>CCS - Gedeeltelijke CO</t>
    </r>
    <r>
      <rPr>
        <sz val="10"/>
        <rFont val="Calibri"/>
        <family val="2"/>
      </rPr>
      <t>₂</t>
    </r>
    <r>
      <rPr>
        <sz val="10"/>
        <rFont val="Arial"/>
        <family val="2"/>
      </rPr>
      <t xml:space="preserve">-opslag bij bestaande of nieuwe installaties, gasvormig transport (PBL variant 1A, 4000 vollasturen) </t>
    </r>
  </si>
  <si>
    <r>
      <t>CCS - Gedeeltelijke CO</t>
    </r>
    <r>
      <rPr>
        <sz val="10"/>
        <rFont val="Calibri"/>
        <family val="2"/>
      </rPr>
      <t>₂</t>
    </r>
    <r>
      <rPr>
        <sz val="10"/>
        <rFont val="Arial"/>
        <family val="2"/>
      </rPr>
      <t>-opslag bij bestaande of nieuwe installaties niet-ETS-bedrijf, gasvormig transport (PBL variant 1A, 4000 vollasturen)</t>
    </r>
  </si>
  <si>
    <r>
      <t>CCS - Gedeeltelijke CO</t>
    </r>
    <r>
      <rPr>
        <sz val="10"/>
        <rFont val="Calibri"/>
        <family val="2"/>
      </rPr>
      <t>₂</t>
    </r>
    <r>
      <rPr>
        <sz val="10"/>
        <rFont val="Arial"/>
        <family val="2"/>
      </rPr>
      <t>-opslag bij bestaande of nieuwe installaties, vloeibaar transport, nieuwe vervloeiingsinstallatie (PBL variant 1B, 4000 vollasturen)</t>
    </r>
  </si>
  <si>
    <r>
      <t>CCS - Gedeeltelijke CO</t>
    </r>
    <r>
      <rPr>
        <sz val="10"/>
        <rFont val="Calibri"/>
        <family val="2"/>
      </rPr>
      <t>₂</t>
    </r>
    <r>
      <rPr>
        <sz val="10"/>
        <rFont val="Arial"/>
        <family val="2"/>
      </rPr>
      <t>-opslag bij bestaande of nieuwe installaties, vloeibaar transport (PBL variant 1C, 4000 vollasturen)</t>
    </r>
  </si>
  <si>
    <r>
      <t>CCS - Gedeeltelijke CO</t>
    </r>
    <r>
      <rPr>
        <sz val="10"/>
        <rFont val="Calibri"/>
        <family val="2"/>
      </rPr>
      <t>₂</t>
    </r>
    <r>
      <rPr>
        <sz val="10"/>
        <rFont val="Arial"/>
        <family val="2"/>
      </rPr>
      <t>-opslag bij bestaande of nieuwe installaties niet-ETS-bedrijf, vloeibaar transport, nieuwe vervloeiingsinstallatie (PBL variant 1B, 4000 vollasturen)</t>
    </r>
  </si>
  <si>
    <r>
      <t>CCS - Gedeeltelijke CO</t>
    </r>
    <r>
      <rPr>
        <sz val="10"/>
        <rFont val="Calibri"/>
        <family val="2"/>
      </rPr>
      <t>₂</t>
    </r>
    <r>
      <rPr>
        <sz val="10"/>
        <rFont val="Arial"/>
        <family val="2"/>
      </rPr>
      <t>-opslag bij bestaande of nieuwe installaties niet-ETS-bedrijf, vloeibaar transport (PBL variant 1C, 4000 vollasturen)</t>
    </r>
  </si>
  <si>
    <t>CCS - Nieuwe post-combustion CO2-afvang, bestaande biomassaverbrandingsinstallatie (&lt; 100 MWe) niet-ETS-bedrijf, vloeibaar transport, nieuwe vervloeiingsinstallatie (PBL variant 6B)</t>
  </si>
  <si>
    <t>Monomestvergisting extra faciliteit (ombouw naar gas) ≤ 450 kW, hernieuwbaar gas</t>
  </si>
  <si>
    <t>Allesvergisting extra faciliteit (ombouw naar gas), hernieuwbaar gas</t>
  </si>
  <si>
    <r>
      <t>CCU - Nieuwe post-combustion CO</t>
    </r>
    <r>
      <rPr>
        <sz val="10"/>
        <rFont val="Calibri"/>
        <family val="2"/>
      </rPr>
      <t>₂</t>
    </r>
    <r>
      <rPr>
        <sz val="10"/>
        <rFont val="Arial"/>
        <family val="2"/>
      </rPr>
      <t>-afvang bij biomassaverbrandingsinstallatie ≤ 50 MWth, gasvormig (PBL variant 7A)</t>
    </r>
  </si>
  <si>
    <t>CCS - Nieuwe post-combustion CO2-afvang, bestaande biomassaverbrandingsinstallatie (&lt;100 MWe) niet-ETS-bedrijf, gasvormig transport (PBL variant 6A)</t>
  </si>
  <si>
    <t xml:space="preserve">Voeg een gedetailleerde tekening op schaal waarop de aangevraagde Zon-PV-installatie nauwkeurig is ingetekend en een ‘Verklaring draagkracht dakconstructie’ toe. </t>
  </si>
  <si>
    <t>Als u subsidie aanvraagt in de categorie waterstof uit elektrolyse netgekoppeld, moet u ter onderbouwing een beschrijving van uw productie-installatie meesturen en een onderbouwing van de jaarlijkse hoeveelheid waterstofproductie. 
Verder geldt dat uitsluitend subsidie wordt verstrekt voor de waterstof die volledig hernieuwbaar is en voldoet aan de gedelegeerde verordening (er moeten hernieuwbare stroomovereenkomsten worden afgesloten die betrekking hebben op de levering van hernieuwbare elektriciteit uit wind- of zonne-energie). Tijdens de exploitatie dient u dan te beschikken over het bewijs van afboeking van garanties van oorsprong (GvO) voor hernieuwbare elektriciteit, die zijn uitgegeven voor productie-installaties voor de productie van hernieuwbare elektriciteit uit wind- of zonne-energie waarvoor de hernieuwbare stroomafnameovereenkomsten zijn aangegaan.</t>
  </si>
  <si>
    <t xml:space="preserve">Als u subsidie aanvraagt in de categorie waterstof uit elektrolyse met directe lijn met een wind- of zonnepark, moet u ter onderbouwing een beschrijving van uw productie-installatie voor waterstof en een beschrijving van het wind-of zonnepark waaraan de waterstofproductie-installatie is gekoppeld meesturen. Daarnaast moet u een onderbouwing geven van de jaarlijkse hoeveelheid waterstofproductie. Er mag geen subsidie zijn verstrekt voor de hernieuwbare elektriciteit die wordt gebruikt.
Verder onderbouwt u dat uw waterstof productie-installatie geschikt is om flexibel in te zetten en dat de installatie in staat is, terwijl deze gereed is voor gebruik, om minder dan 1% elektriciteit van het maximale vermogen van de productie-installatie te gebruiken. 
</t>
  </si>
  <si>
    <t>Voeg een waterstofopbrengstberekening toe</t>
  </si>
  <si>
    <t>Versie september 2024_v3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</si>
</sst>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0.0"/>
    <numFmt numFmtId="165" formatCode="#,##0.000"/>
    <numFmt numFmtId="166" formatCode="0.000"/>
    <numFmt numFmtId="167" formatCode="0.0000"/>
    <numFmt numFmtId="168" formatCode="0.0%"/>
    <numFmt numFmtId="169" formatCode="_-* #,##0_-;_-* #,##0\-;_-* &quot;-&quot;??_-;_-@_-"/>
    <numFmt numFmtId="170" formatCode="#,##0.0000"/>
    <numFmt numFmtId="171" formatCode="0.00000"/>
  </numFmts>
  <fonts count="61" x14ac:knownFonts="1">
    <font>
      <sz val="11"/>
      <color theme="1"/>
      <name val="Calibri"/>
      <family val="2"/>
      <scheme val="minor"/>
    </font>
    <font>
      <sz val="11"/>
      <color theme="1"/>
      <name val="Calibri"/>
      <family val="2"/>
      <scheme val="minor"/>
    </font>
    <font>
      <u/>
      <sz val="11"/>
      <color theme="10"/>
      <name val="Calibri"/>
      <family val="2"/>
      <scheme val="minor"/>
    </font>
    <font>
      <b/>
      <sz val="28"/>
      <name val="Arial"/>
      <family val="2"/>
    </font>
    <font>
      <b/>
      <sz val="14"/>
      <name val="Arial"/>
      <family val="2"/>
    </font>
    <font>
      <sz val="10"/>
      <name val="Arial"/>
      <family val="2"/>
    </font>
    <font>
      <sz val="10"/>
      <name val="Calibri"/>
      <family val="2"/>
    </font>
    <font>
      <b/>
      <sz val="12"/>
      <color rgb="FFFF0000"/>
      <name val="Arial"/>
      <family val="2"/>
    </font>
    <font>
      <b/>
      <sz val="10"/>
      <name val="Arial"/>
      <family val="2"/>
    </font>
    <font>
      <u/>
      <sz val="10"/>
      <name val="Arial"/>
      <family val="2"/>
    </font>
    <font>
      <b/>
      <i/>
      <sz val="10"/>
      <name val="Arial"/>
      <family val="2"/>
    </font>
    <font>
      <b/>
      <sz val="10"/>
      <color rgb="FFFF0000"/>
      <name val="Arial"/>
      <family val="2"/>
    </font>
    <font>
      <b/>
      <sz val="36"/>
      <name val="Arial"/>
      <family val="2"/>
    </font>
    <font>
      <b/>
      <sz val="16"/>
      <name val="Arial"/>
      <family val="2"/>
    </font>
    <font>
      <sz val="12"/>
      <color theme="1"/>
      <name val="Arial"/>
      <family val="2"/>
    </font>
    <font>
      <sz val="10"/>
      <color rgb="FFFF0000"/>
      <name val="Arial"/>
      <family val="2"/>
    </font>
    <font>
      <b/>
      <sz val="11"/>
      <name val="Arial"/>
      <family val="2"/>
    </font>
    <font>
      <b/>
      <sz val="9"/>
      <color indexed="81"/>
      <name val="Tahoma"/>
      <family val="2"/>
    </font>
    <font>
      <sz val="9"/>
      <color indexed="81"/>
      <name val="Tahoma"/>
      <family val="2"/>
    </font>
    <font>
      <sz val="8"/>
      <color indexed="81"/>
      <name val="Tahoma"/>
      <family val="2"/>
    </font>
    <font>
      <b/>
      <sz val="8"/>
      <color indexed="81"/>
      <name val="Tahoma"/>
      <family val="2"/>
    </font>
    <font>
      <sz val="9"/>
      <name val="Arial"/>
      <family val="2"/>
    </font>
    <font>
      <b/>
      <sz val="9"/>
      <name val="Arial"/>
      <family val="2"/>
    </font>
    <font>
      <b/>
      <sz val="12"/>
      <name val="Arial"/>
      <family val="2"/>
    </font>
    <font>
      <sz val="11"/>
      <name val="Arial"/>
      <family val="2"/>
    </font>
    <font>
      <b/>
      <sz val="20"/>
      <color rgb="FFFF0000"/>
      <name val="Arial"/>
      <family val="2"/>
    </font>
    <font>
      <b/>
      <sz val="14"/>
      <color rgb="FFFF0000"/>
      <name val="Calibri"/>
      <family val="2"/>
    </font>
    <font>
      <b/>
      <u/>
      <sz val="10"/>
      <name val="Arial"/>
      <family val="2"/>
    </font>
    <font>
      <b/>
      <sz val="12"/>
      <color rgb="FFFFC000"/>
      <name val="Arial"/>
      <family val="2"/>
    </font>
    <font>
      <sz val="12"/>
      <color rgb="FFFFC000"/>
      <name val="Arial"/>
      <family val="2"/>
    </font>
    <font>
      <sz val="12"/>
      <name val="Arial"/>
      <family val="2"/>
    </font>
    <font>
      <b/>
      <sz val="10"/>
      <name val="Calibri"/>
      <family val="2"/>
    </font>
    <font>
      <sz val="10"/>
      <color theme="1"/>
      <name val="Arial"/>
      <family val="2"/>
    </font>
    <font>
      <sz val="10"/>
      <color indexed="8"/>
      <name val="Arial"/>
      <family val="2"/>
    </font>
    <font>
      <b/>
      <sz val="10"/>
      <color rgb="FFB7DEE8"/>
      <name val="Arial"/>
      <family val="2"/>
    </font>
    <font>
      <b/>
      <sz val="14"/>
      <color rgb="FFFF0000"/>
      <name val="Arial"/>
      <family val="2"/>
    </font>
    <font>
      <vertAlign val="subscript"/>
      <sz val="9"/>
      <color indexed="81"/>
      <name val="Tahoma"/>
      <family val="2"/>
    </font>
    <font>
      <b/>
      <sz val="26"/>
      <name val="Arial"/>
      <family val="2"/>
    </font>
    <font>
      <i/>
      <sz val="11"/>
      <name val="Arial"/>
      <family val="2"/>
    </font>
    <font>
      <sz val="10"/>
      <color theme="1"/>
      <name val="Calibri"/>
      <family val="2"/>
      <scheme val="minor"/>
    </font>
    <font>
      <sz val="11"/>
      <name val="Calibri"/>
      <family val="2"/>
      <scheme val="minor"/>
    </font>
    <font>
      <b/>
      <sz val="14"/>
      <color theme="1"/>
      <name val="Calibri"/>
      <family val="2"/>
      <scheme val="minor"/>
    </font>
    <font>
      <sz val="10"/>
      <name val="Calibri"/>
      <family val="2"/>
      <scheme val="minor"/>
    </font>
    <font>
      <vertAlign val="superscript"/>
      <sz val="10"/>
      <name val="Arial"/>
      <family val="2"/>
    </font>
    <font>
      <sz val="8"/>
      <name val="Calibri"/>
      <family val="2"/>
      <scheme val="minor"/>
    </font>
    <font>
      <vertAlign val="superscript"/>
      <sz val="10"/>
      <name val="Calibri"/>
      <family val="2"/>
      <scheme val="minor"/>
    </font>
    <font>
      <b/>
      <sz val="14"/>
      <color theme="1"/>
      <name val="Arial"/>
      <family val="2"/>
    </font>
    <font>
      <sz val="7.5"/>
      <name val="Arial"/>
      <family val="2"/>
    </font>
    <font>
      <sz val="5.65"/>
      <name val="Arial"/>
      <family val="2"/>
    </font>
    <font>
      <sz val="10"/>
      <color rgb="FF3F3F76"/>
      <name val="Calibri"/>
      <family val="2"/>
      <scheme val="minor"/>
    </font>
    <font>
      <b/>
      <sz val="10"/>
      <color rgb="FFFA7D00"/>
      <name val="Calibri"/>
      <family val="2"/>
      <scheme val="minor"/>
    </font>
    <font>
      <b/>
      <sz val="11"/>
      <color theme="0"/>
      <name val="Arial"/>
      <family val="2"/>
    </font>
    <font>
      <b/>
      <sz val="12"/>
      <color theme="0"/>
      <name val="Arial"/>
      <family val="2"/>
    </font>
    <font>
      <sz val="11"/>
      <color theme="0"/>
      <name val="Arial"/>
      <family val="2"/>
    </font>
    <font>
      <sz val="12"/>
      <color theme="0"/>
      <name val="Arial"/>
      <family val="2"/>
    </font>
    <font>
      <i/>
      <sz val="10"/>
      <name val="Arial"/>
      <family val="2"/>
    </font>
    <font>
      <sz val="11"/>
      <color theme="1"/>
      <name val="Arial"/>
      <family val="2"/>
    </font>
    <font>
      <vertAlign val="subscript"/>
      <sz val="11"/>
      <name val="Arial"/>
      <family val="2"/>
    </font>
    <font>
      <vertAlign val="superscript"/>
      <sz val="11"/>
      <color theme="0"/>
      <name val="Arial"/>
      <family val="2"/>
    </font>
    <font>
      <vertAlign val="superscript"/>
      <sz val="11"/>
      <name val="Arial"/>
      <family val="2"/>
    </font>
    <font>
      <sz val="9"/>
      <color indexed="81"/>
      <name val="Tahoma"/>
      <charset val="1"/>
    </font>
  </fonts>
  <fills count="14">
    <fill>
      <patternFill patternType="none"/>
    </fill>
    <fill>
      <patternFill patternType="gray125"/>
    </fill>
    <fill>
      <patternFill patternType="solid">
        <fgColor rgb="FFB7DEE8"/>
        <bgColor indexed="64"/>
      </patternFill>
    </fill>
    <fill>
      <patternFill patternType="solid">
        <fgColor theme="0"/>
        <bgColor indexed="64"/>
      </patternFill>
    </fill>
    <fill>
      <patternFill patternType="solid">
        <fgColor rgb="FFFFC000"/>
        <bgColor indexed="64"/>
      </patternFill>
    </fill>
    <fill>
      <patternFill patternType="solid">
        <fgColor rgb="FF92D050"/>
        <bgColor indexed="64"/>
      </patternFill>
    </fill>
    <fill>
      <patternFill patternType="solid">
        <fgColor theme="9" tint="-0.499984740745262"/>
        <bgColor indexed="64"/>
      </patternFill>
    </fill>
    <fill>
      <patternFill patternType="solid">
        <fgColor theme="9" tint="0.79998168889431442"/>
        <bgColor indexed="64"/>
      </patternFill>
    </fill>
    <fill>
      <patternFill patternType="solid">
        <fgColor rgb="FFFFFF00"/>
        <bgColor indexed="64"/>
      </patternFill>
    </fill>
    <fill>
      <patternFill patternType="solid">
        <fgColor rgb="FFFFCC99"/>
      </patternFill>
    </fill>
    <fill>
      <patternFill patternType="solid">
        <fgColor rgb="FFF2F2F2"/>
      </patternFill>
    </fill>
    <fill>
      <patternFill patternType="solid">
        <fgColor theme="8" tint="-0.249977111117893"/>
        <bgColor indexed="64"/>
      </patternFill>
    </fill>
    <fill>
      <patternFill patternType="solid">
        <fgColor theme="7" tint="0.59999389629810485"/>
        <bgColor indexed="64"/>
      </patternFill>
    </fill>
    <fill>
      <patternFill patternType="solid">
        <fgColor theme="8" tint="0.59999389629810485"/>
        <bgColor indexed="64"/>
      </patternFill>
    </fill>
  </fills>
  <borders count="3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rgb="FF7F7F7F"/>
      </left>
      <right style="thin">
        <color rgb="FF7F7F7F"/>
      </right>
      <top style="thin">
        <color rgb="FF7F7F7F"/>
      </top>
      <bottom style="thin">
        <color rgb="FF7F7F7F"/>
      </bottom>
      <diagonal/>
    </border>
    <border>
      <left/>
      <right style="thin">
        <color theme="0"/>
      </right>
      <top style="medium">
        <color indexed="64"/>
      </top>
      <bottom/>
      <diagonal/>
    </border>
    <border>
      <left/>
      <right style="thin">
        <color theme="0"/>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s>
  <cellStyleXfs count="5">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49" fillId="9" borderId="24" applyNumberFormat="0" applyAlignment="0" applyProtection="0"/>
    <xf numFmtId="0" fontId="50" fillId="10" borderId="24" applyNumberFormat="0" applyAlignment="0" applyProtection="0"/>
  </cellStyleXfs>
  <cellXfs count="560">
    <xf numFmtId="0" fontId="0" fillId="0" borderId="0" xfId="0"/>
    <xf numFmtId="0" fontId="4" fillId="2" borderId="0" xfId="0" applyFont="1" applyFill="1" applyAlignment="1">
      <alignment horizontal="left" vertical="top" wrapText="1"/>
    </xf>
    <xf numFmtId="0" fontId="0" fillId="2" borderId="0" xfId="0" applyFill="1" applyAlignment="1">
      <alignment horizontal="left" vertical="top" wrapText="1"/>
    </xf>
    <xf numFmtId="0" fontId="5" fillId="2" borderId="0" xfId="0" applyFont="1" applyFill="1" applyAlignment="1">
      <alignment horizontal="left" vertical="top" wrapText="1"/>
    </xf>
    <xf numFmtId="0" fontId="0" fillId="2" borderId="0" xfId="0" applyFill="1"/>
    <xf numFmtId="9" fontId="0" fillId="2" borderId="0" xfId="0" applyNumberFormat="1" applyFill="1"/>
    <xf numFmtId="0" fontId="11" fillId="2" borderId="0" xfId="0" applyFont="1" applyFill="1"/>
    <xf numFmtId="3" fontId="0" fillId="2" borderId="0" xfId="0" applyNumberFormat="1" applyFill="1" applyAlignment="1">
      <alignment horizontal="left"/>
    </xf>
    <xf numFmtId="0" fontId="0" fillId="2" borderId="0" xfId="0" applyFill="1" applyAlignment="1">
      <alignment horizontal="left"/>
    </xf>
    <xf numFmtId="3" fontId="8" fillId="2" borderId="0" xfId="0" applyNumberFormat="1" applyFont="1" applyFill="1" applyAlignment="1">
      <alignment horizontal="right"/>
    </xf>
    <xf numFmtId="3" fontId="5" fillId="3" borderId="5" xfId="0" applyNumberFormat="1" applyFont="1" applyFill="1" applyBorder="1" applyProtection="1">
      <protection locked="0"/>
    </xf>
    <xf numFmtId="164" fontId="11" fillId="2" borderId="0" xfId="0" applyNumberFormat="1" applyFont="1" applyFill="1"/>
    <xf numFmtId="0" fontId="5" fillId="2" borderId="0" xfId="0" applyFont="1" applyFill="1"/>
    <xf numFmtId="49" fontId="0" fillId="2" borderId="0" xfId="0" applyNumberFormat="1" applyFill="1"/>
    <xf numFmtId="3" fontId="0" fillId="2" borderId="0" xfId="0" applyNumberFormat="1" applyFill="1"/>
    <xf numFmtId="49" fontId="5" fillId="2" borderId="0" xfId="0" applyNumberFormat="1" applyFont="1" applyFill="1"/>
    <xf numFmtId="164" fontId="5" fillId="2" borderId="0" xfId="0" applyNumberFormat="1" applyFont="1" applyFill="1"/>
    <xf numFmtId="164" fontId="5" fillId="2" borderId="0" xfId="0" applyNumberFormat="1" applyFont="1" applyFill="1" applyAlignment="1">
      <alignment vertical="top" wrapText="1"/>
    </xf>
    <xf numFmtId="0" fontId="3" fillId="2" borderId="0" xfId="0" applyFont="1" applyFill="1" applyAlignment="1">
      <alignment horizontal="left" vertical="top" wrapText="1"/>
    </xf>
    <xf numFmtId="49" fontId="4" fillId="2" borderId="0" xfId="0" applyNumberFormat="1" applyFont="1" applyFill="1" applyAlignment="1">
      <alignment horizontal="left" vertical="center" wrapText="1"/>
    </xf>
    <xf numFmtId="0" fontId="4" fillId="2" borderId="0" xfId="0" applyFont="1" applyFill="1" applyAlignment="1">
      <alignment horizontal="left" vertical="center" wrapText="1"/>
    </xf>
    <xf numFmtId="49" fontId="2" fillId="2" borderId="0" xfId="2" quotePrefix="1" applyNumberFormat="1" applyFill="1" applyAlignment="1">
      <alignment wrapText="1"/>
    </xf>
    <xf numFmtId="0" fontId="7" fillId="2" borderId="0" xfId="0" applyFont="1" applyFill="1" applyAlignment="1">
      <alignment horizontal="left"/>
    </xf>
    <xf numFmtId="0" fontId="8" fillId="2" borderId="0" xfId="0" applyFont="1" applyFill="1" applyAlignment="1">
      <alignment horizontal="left" vertical="top" wrapText="1"/>
    </xf>
    <xf numFmtId="0" fontId="10" fillId="2" borderId="0" xfId="0" applyFont="1" applyFill="1" applyAlignment="1">
      <alignment horizontal="left" vertical="top" wrapText="1"/>
    </xf>
    <xf numFmtId="0" fontId="11" fillId="2" borderId="0" xfId="0" applyFont="1" applyFill="1" applyAlignment="1">
      <alignment horizontal="left" vertical="top" wrapText="1"/>
    </xf>
    <xf numFmtId="0" fontId="3" fillId="2" borderId="0" xfId="0" applyFont="1" applyFill="1" applyAlignment="1">
      <alignment vertical="center"/>
    </xf>
    <xf numFmtId="0" fontId="12" fillId="2" borderId="0" xfId="0" applyFont="1" applyFill="1"/>
    <xf numFmtId="0" fontId="4" fillId="2" borderId="0" xfId="0" applyFont="1" applyFill="1"/>
    <xf numFmtId="0" fontId="13" fillId="2" borderId="0" xfId="0" applyFont="1" applyFill="1"/>
    <xf numFmtId="0" fontId="8" fillId="2" borderId="0" xfId="0" applyFont="1" applyFill="1"/>
    <xf numFmtId="0" fontId="11" fillId="2" borderId="0" xfId="0" applyFont="1" applyFill="1" applyAlignment="1">
      <alignment vertical="top"/>
    </xf>
    <xf numFmtId="0" fontId="5" fillId="2" borderId="0" xfId="0" applyFont="1" applyFill="1" applyAlignment="1">
      <alignment vertical="top"/>
    </xf>
    <xf numFmtId="0" fontId="7" fillId="2" borderId="0" xfId="0" applyFont="1" applyFill="1" applyAlignment="1">
      <alignment vertical="center"/>
    </xf>
    <xf numFmtId="0" fontId="8" fillId="2" borderId="0" xfId="0" applyFont="1" applyFill="1" applyAlignment="1">
      <alignment vertical="top"/>
    </xf>
    <xf numFmtId="0" fontId="7" fillId="2" borderId="0" xfId="0" applyFont="1" applyFill="1"/>
    <xf numFmtId="0" fontId="4" fillId="2" borderId="0" xfId="0" applyFont="1" applyFill="1" applyAlignment="1">
      <alignment vertical="top"/>
    </xf>
    <xf numFmtId="0" fontId="14" fillId="2" borderId="0" xfId="0" applyFont="1" applyFill="1"/>
    <xf numFmtId="164" fontId="0" fillId="2" borderId="0" xfId="0" applyNumberFormat="1" applyFill="1"/>
    <xf numFmtId="165" fontId="5" fillId="2" borderId="0" xfId="0" applyNumberFormat="1" applyFont="1" applyFill="1"/>
    <xf numFmtId="0" fontId="15" fillId="2" borderId="0" xfId="0" applyFont="1" applyFill="1"/>
    <xf numFmtId="49" fontId="8" fillId="2" borderId="0" xfId="0" applyNumberFormat="1" applyFont="1" applyFill="1"/>
    <xf numFmtId="3" fontId="8" fillId="2" borderId="0" xfId="0" applyNumberFormat="1" applyFont="1" applyFill="1"/>
    <xf numFmtId="164" fontId="8" fillId="2" borderId="0" xfId="0" applyNumberFormat="1" applyFont="1" applyFill="1"/>
    <xf numFmtId="0" fontId="16" fillId="2" borderId="0" xfId="0" applyFont="1" applyFill="1"/>
    <xf numFmtId="9" fontId="5" fillId="2" borderId="0" xfId="0" applyNumberFormat="1" applyFont="1" applyFill="1"/>
    <xf numFmtId="9" fontId="5" fillId="2" borderId="0" xfId="1" applyFont="1" applyFill="1" applyBorder="1" applyProtection="1"/>
    <xf numFmtId="0" fontId="23" fillId="2" borderId="0" xfId="0" applyFont="1" applyFill="1"/>
    <xf numFmtId="166" fontId="5" fillId="2" borderId="0" xfId="0" applyNumberFormat="1" applyFont="1" applyFill="1" applyAlignment="1">
      <alignment horizontal="right"/>
    </xf>
    <xf numFmtId="0" fontId="11" fillId="2" borderId="0" xfId="0" applyFont="1" applyFill="1" applyAlignment="1">
      <alignment horizontal="left"/>
    </xf>
    <xf numFmtId="0" fontId="5" fillId="2" borderId="0" xfId="0" applyFont="1" applyFill="1" applyAlignment="1">
      <alignment horizontal="left"/>
    </xf>
    <xf numFmtId="165" fontId="11" fillId="2" borderId="0" xfId="0" applyNumberFormat="1" applyFont="1" applyFill="1" applyAlignment="1">
      <alignment horizontal="left"/>
    </xf>
    <xf numFmtId="165" fontId="5" fillId="2" borderId="0" xfId="0" applyNumberFormat="1" applyFont="1" applyFill="1" applyAlignment="1">
      <alignment horizontal="right"/>
    </xf>
    <xf numFmtId="3" fontId="5" fillId="2" borderId="0" xfId="0" applyNumberFormat="1" applyFont="1" applyFill="1" applyAlignment="1">
      <alignment horizontal="right"/>
    </xf>
    <xf numFmtId="0" fontId="0" fillId="2" borderId="0" xfId="0" applyFill="1" applyAlignment="1">
      <alignment horizontal="right"/>
    </xf>
    <xf numFmtId="0" fontId="11" fillId="2" borderId="0" xfId="0" applyFont="1" applyFill="1" applyAlignment="1">
      <alignment vertical="top" wrapText="1"/>
    </xf>
    <xf numFmtId="0" fontId="7" fillId="2" borderId="0" xfId="0" applyFont="1" applyFill="1" applyAlignment="1">
      <alignment vertical="top"/>
    </xf>
    <xf numFmtId="3" fontId="5" fillId="2" borderId="0" xfId="0" applyNumberFormat="1" applyFont="1" applyFill="1"/>
    <xf numFmtId="0" fontId="25" fillId="2" borderId="0" xfId="0" applyFont="1" applyFill="1"/>
    <xf numFmtId="0" fontId="26" fillId="2" borderId="0" xfId="0" applyFont="1" applyFill="1"/>
    <xf numFmtId="10" fontId="0" fillId="2" borderId="0" xfId="0" applyNumberFormat="1" applyFill="1"/>
    <xf numFmtId="1" fontId="0" fillId="2" borderId="0" xfId="0" applyNumberFormat="1" applyFill="1"/>
    <xf numFmtId="1" fontId="5" fillId="2" borderId="0" xfId="0" applyNumberFormat="1" applyFont="1" applyFill="1" applyAlignment="1">
      <alignment horizontal="right"/>
    </xf>
    <xf numFmtId="167" fontId="0" fillId="2" borderId="0" xfId="0" applyNumberFormat="1" applyFill="1"/>
    <xf numFmtId="168" fontId="0" fillId="2" borderId="0" xfId="0" applyNumberFormat="1" applyFill="1"/>
    <xf numFmtId="166" fontId="0" fillId="2" borderId="0" xfId="0" applyNumberFormat="1" applyFill="1"/>
    <xf numFmtId="0" fontId="27" fillId="2" borderId="0" xfId="0" applyFont="1" applyFill="1"/>
    <xf numFmtId="168" fontId="5" fillId="2" borderId="0" xfId="0" applyNumberFormat="1" applyFont="1" applyFill="1"/>
    <xf numFmtId="167" fontId="8" fillId="2" borderId="0" xfId="0" applyNumberFormat="1" applyFont="1" applyFill="1"/>
    <xf numFmtId="1" fontId="5" fillId="2" borderId="0" xfId="0" applyNumberFormat="1" applyFont="1" applyFill="1"/>
    <xf numFmtId="1" fontId="5" fillId="2" borderId="0" xfId="0" applyNumberFormat="1" applyFont="1" applyFill="1" applyAlignment="1">
      <alignment horizontal="left"/>
    </xf>
    <xf numFmtId="1" fontId="0" fillId="2" borderId="0" xfId="0" applyNumberFormat="1" applyFill="1" applyAlignment="1">
      <alignment horizontal="left"/>
    </xf>
    <xf numFmtId="0" fontId="23" fillId="2" borderId="0" xfId="0" applyFont="1" applyFill="1" applyAlignment="1">
      <alignment vertical="center"/>
    </xf>
    <xf numFmtId="0" fontId="28" fillId="2" borderId="0" xfId="0" applyFont="1" applyFill="1" applyAlignment="1">
      <alignment vertical="center"/>
    </xf>
    <xf numFmtId="0" fontId="29" fillId="2" borderId="0" xfId="0" applyFont="1" applyFill="1" applyAlignment="1">
      <alignment vertical="center"/>
    </xf>
    <xf numFmtId="10" fontId="23" fillId="2" borderId="0" xfId="0" applyNumberFormat="1" applyFont="1" applyFill="1" applyAlignment="1">
      <alignment vertical="center"/>
    </xf>
    <xf numFmtId="0" fontId="30" fillId="2" borderId="0" xfId="0" applyFont="1" applyFill="1" applyAlignment="1">
      <alignment vertical="center"/>
    </xf>
    <xf numFmtId="3" fontId="30" fillId="2" borderId="0" xfId="0" applyNumberFormat="1" applyFont="1" applyFill="1" applyAlignment="1">
      <alignment vertical="center"/>
    </xf>
    <xf numFmtId="3" fontId="23" fillId="2" borderId="0" xfId="1" applyNumberFormat="1" applyFont="1" applyFill="1" applyBorder="1" applyAlignment="1" applyProtection="1">
      <alignment vertical="center"/>
    </xf>
    <xf numFmtId="10" fontId="23" fillId="2" borderId="0" xfId="0" applyNumberFormat="1" applyFont="1" applyFill="1" applyAlignment="1">
      <alignment horizontal="right" vertical="center"/>
    </xf>
    <xf numFmtId="169" fontId="0" fillId="2" borderId="0" xfId="0" applyNumberFormat="1" applyFill="1"/>
    <xf numFmtId="2" fontId="8" fillId="2" borderId="0" xfId="0" applyNumberFormat="1" applyFont="1" applyFill="1" applyAlignment="1">
      <alignment horizontal="right"/>
    </xf>
    <xf numFmtId="2" fontId="23" fillId="2" borderId="0" xfId="0" applyNumberFormat="1" applyFont="1" applyFill="1" applyAlignment="1">
      <alignment horizontal="right" vertical="center"/>
    </xf>
    <xf numFmtId="0" fontId="0" fillId="2" borderId="13" xfId="0" applyFill="1" applyBorder="1" applyAlignment="1">
      <alignment horizontal="left"/>
    </xf>
    <xf numFmtId="3" fontId="0" fillId="2" borderId="13" xfId="0" applyNumberFormat="1" applyFill="1" applyBorder="1" applyAlignment="1">
      <alignment horizontal="left"/>
    </xf>
    <xf numFmtId="3" fontId="5" fillId="2" borderId="14" xfId="0" applyNumberFormat="1" applyFont="1" applyFill="1" applyBorder="1" applyAlignment="1">
      <alignment horizontal="left"/>
    </xf>
    <xf numFmtId="164" fontId="15" fillId="2" borderId="0" xfId="0" applyNumberFormat="1" applyFont="1" applyFill="1"/>
    <xf numFmtId="0" fontId="11" fillId="2" borderId="0" xfId="0" applyFont="1" applyFill="1" applyAlignment="1">
      <alignment horizontal="left" wrapText="1"/>
    </xf>
    <xf numFmtId="3" fontId="15" fillId="2" borderId="0" xfId="0" applyNumberFormat="1" applyFont="1" applyFill="1" applyAlignment="1">
      <alignment horizontal="right"/>
    </xf>
    <xf numFmtId="170" fontId="5" fillId="2" borderId="0" xfId="0" applyNumberFormat="1" applyFont="1" applyFill="1"/>
    <xf numFmtId="3" fontId="5" fillId="3" borderId="12" xfId="0" applyNumberFormat="1" applyFont="1" applyFill="1" applyBorder="1" applyProtection="1">
      <protection locked="0"/>
    </xf>
    <xf numFmtId="3" fontId="5" fillId="3" borderId="13" xfId="0" applyNumberFormat="1" applyFont="1" applyFill="1" applyBorder="1" applyProtection="1">
      <protection locked="0"/>
    </xf>
    <xf numFmtId="0" fontId="23" fillId="4" borderId="16" xfId="0" applyFont="1" applyFill="1" applyBorder="1" applyAlignment="1">
      <alignment vertical="center"/>
    </xf>
    <xf numFmtId="0" fontId="28" fillId="4" borderId="17" xfId="0" applyFont="1" applyFill="1" applyBorder="1" applyAlignment="1">
      <alignment vertical="center"/>
    </xf>
    <xf numFmtId="0" fontId="29" fillId="4" borderId="17" xfId="0" applyFont="1" applyFill="1" applyBorder="1" applyAlignment="1">
      <alignment vertical="center"/>
    </xf>
    <xf numFmtId="10" fontId="23" fillId="4" borderId="18" xfId="0" applyNumberFormat="1" applyFont="1" applyFill="1" applyBorder="1" applyAlignment="1">
      <alignment vertical="center"/>
    </xf>
    <xf numFmtId="0" fontId="23" fillId="4" borderId="17" xfId="0" applyFont="1" applyFill="1" applyBorder="1" applyAlignment="1">
      <alignment vertical="center"/>
    </xf>
    <xf numFmtId="10" fontId="23" fillId="4" borderId="18" xfId="0" applyNumberFormat="1" applyFont="1" applyFill="1" applyBorder="1" applyAlignment="1">
      <alignment horizontal="right" vertical="center"/>
    </xf>
    <xf numFmtId="0" fontId="8" fillId="4" borderId="17" xfId="0" applyFont="1" applyFill="1" applyBorder="1"/>
    <xf numFmtId="0" fontId="0" fillId="4" borderId="17" xfId="0" applyFill="1" applyBorder="1"/>
    <xf numFmtId="2" fontId="23" fillId="4" borderId="18" xfId="0" applyNumberFormat="1" applyFont="1" applyFill="1" applyBorder="1" applyAlignment="1">
      <alignment horizontal="right" vertical="center"/>
    </xf>
    <xf numFmtId="0" fontId="15" fillId="2" borderId="6" xfId="0" applyFont="1" applyFill="1" applyBorder="1" applyAlignment="1">
      <alignment wrapText="1"/>
    </xf>
    <xf numFmtId="0" fontId="15" fillId="2" borderId="0" xfId="0" applyFont="1" applyFill="1" applyAlignment="1">
      <alignment wrapText="1"/>
    </xf>
    <xf numFmtId="0" fontId="8" fillId="2" borderId="0" xfId="0" applyFont="1" applyFill="1" applyAlignment="1">
      <alignment horizontal="left"/>
    </xf>
    <xf numFmtId="0" fontId="15" fillId="2" borderId="6" xfId="0" applyFont="1" applyFill="1" applyBorder="1"/>
    <xf numFmtId="0" fontId="15" fillId="2" borderId="4" xfId="0" applyFont="1" applyFill="1" applyBorder="1"/>
    <xf numFmtId="0" fontId="15" fillId="2" borderId="5" xfId="0" applyFont="1" applyFill="1" applyBorder="1"/>
    <xf numFmtId="0" fontId="15" fillId="2" borderId="15" xfId="0" applyFont="1" applyFill="1" applyBorder="1"/>
    <xf numFmtId="0" fontId="15" fillId="2" borderId="6" xfId="0" applyFont="1" applyFill="1" applyBorder="1" applyAlignment="1">
      <alignment vertical="top" wrapText="1"/>
    </xf>
    <xf numFmtId="0" fontId="15" fillId="2" borderId="4" xfId="0" applyFont="1" applyFill="1" applyBorder="1" applyAlignment="1">
      <alignment vertical="top"/>
    </xf>
    <xf numFmtId="0" fontId="15" fillId="2" borderId="5" xfId="0" applyFont="1" applyFill="1" applyBorder="1" applyAlignment="1">
      <alignment vertical="top"/>
    </xf>
    <xf numFmtId="0" fontId="15" fillId="2" borderId="4" xfId="0" applyFont="1" applyFill="1" applyBorder="1" applyAlignment="1">
      <alignment wrapText="1"/>
    </xf>
    <xf numFmtId="164" fontId="15" fillId="2" borderId="5" xfId="0" applyNumberFormat="1" applyFont="1" applyFill="1" applyBorder="1"/>
    <xf numFmtId="166" fontId="15" fillId="2" borderId="5" xfId="0" applyNumberFormat="1" applyFont="1" applyFill="1" applyBorder="1"/>
    <xf numFmtId="3" fontId="15" fillId="2" borderId="5" xfId="0" applyNumberFormat="1" applyFont="1" applyFill="1" applyBorder="1"/>
    <xf numFmtId="3" fontId="15" fillId="2" borderId="15" xfId="0" applyNumberFormat="1" applyFont="1" applyFill="1" applyBorder="1"/>
    <xf numFmtId="0" fontId="8" fillId="0" borderId="0" xfId="0" applyFont="1"/>
    <xf numFmtId="0" fontId="5" fillId="0" borderId="0" xfId="0" applyFont="1"/>
    <xf numFmtId="0" fontId="6" fillId="0" borderId="0" xfId="0" applyFont="1"/>
    <xf numFmtId="0" fontId="5" fillId="0" borderId="0" xfId="0" applyFont="1" applyAlignment="1">
      <alignment horizontal="left"/>
    </xf>
    <xf numFmtId="0" fontId="8" fillId="0" borderId="0" xfId="0" applyFont="1" applyAlignment="1">
      <alignment horizontal="right"/>
    </xf>
    <xf numFmtId="0" fontId="11" fillId="0" borderId="0" xfId="0" applyFont="1"/>
    <xf numFmtId="0" fontId="5" fillId="0" borderId="0" xfId="0" applyFont="1" applyAlignment="1">
      <alignment wrapText="1"/>
    </xf>
    <xf numFmtId="0" fontId="5" fillId="0" borderId="0" xfId="0" applyFont="1" applyAlignment="1">
      <alignment horizontal="right"/>
    </xf>
    <xf numFmtId="0" fontId="5" fillId="0" borderId="0" xfId="0" applyFont="1" applyAlignment="1">
      <alignment horizontal="left" wrapText="1"/>
    </xf>
    <xf numFmtId="0" fontId="5" fillId="0" borderId="0" xfId="0" applyFont="1" applyAlignment="1">
      <alignment vertical="top" wrapText="1"/>
    </xf>
    <xf numFmtId="0" fontId="11" fillId="0" borderId="0" xfId="0" applyFont="1" applyAlignment="1">
      <alignment wrapText="1"/>
    </xf>
    <xf numFmtId="0" fontId="13" fillId="0" borderId="0" xfId="0" applyFont="1"/>
    <xf numFmtId="0" fontId="4" fillId="0" borderId="0" xfId="0" applyFont="1" applyAlignment="1">
      <alignment vertical="top" wrapText="1"/>
    </xf>
    <xf numFmtId="0" fontId="5" fillId="5" borderId="0" xfId="0" applyFont="1" applyFill="1"/>
    <xf numFmtId="0" fontId="5" fillId="5" borderId="0" xfId="0" applyFont="1" applyFill="1" applyAlignment="1">
      <alignment wrapText="1"/>
    </xf>
    <xf numFmtId="0" fontId="8" fillId="0" borderId="0" xfId="0" applyFont="1" applyAlignment="1">
      <alignment vertical="top" wrapText="1"/>
    </xf>
    <xf numFmtId="0" fontId="0" fillId="0" borderId="0" xfId="0" applyAlignment="1">
      <alignment vertical="top" wrapText="1"/>
    </xf>
    <xf numFmtId="0" fontId="15" fillId="0" borderId="0" xfId="0" applyFont="1"/>
    <xf numFmtId="0" fontId="4" fillId="0" borderId="0" xfId="0" applyFont="1"/>
    <xf numFmtId="0" fontId="15" fillId="0" borderId="0" xfId="0" applyFont="1" applyAlignment="1">
      <alignment wrapText="1"/>
    </xf>
    <xf numFmtId="0" fontId="8" fillId="0" borderId="0" xfId="0" applyFont="1" applyAlignment="1" applyProtection="1">
      <alignment vertical="top" wrapText="1"/>
      <protection locked="0"/>
    </xf>
    <xf numFmtId="0" fontId="0" fillId="0" borderId="0" xfId="0" applyAlignment="1">
      <alignment wrapText="1"/>
    </xf>
    <xf numFmtId="0" fontId="6" fillId="0" borderId="0" xfId="0" applyFont="1" applyAlignment="1">
      <alignment wrapText="1"/>
    </xf>
    <xf numFmtId="0" fontId="8" fillId="0" borderId="0" xfId="0" applyFont="1" applyAlignment="1">
      <alignment wrapText="1"/>
    </xf>
    <xf numFmtId="0" fontId="23" fillId="0" borderId="0" xfId="0" applyFont="1" applyAlignment="1">
      <alignment wrapText="1"/>
    </xf>
    <xf numFmtId="0" fontId="0" fillId="0" borderId="0" xfId="0" applyAlignment="1">
      <alignment vertical="top"/>
    </xf>
    <xf numFmtId="0" fontId="23" fillId="0" borderId="0" xfId="0" applyFont="1"/>
    <xf numFmtId="0" fontId="8" fillId="0" borderId="0" xfId="0" applyFont="1" applyAlignment="1">
      <alignment vertical="top"/>
    </xf>
    <xf numFmtId="0" fontId="5" fillId="0" borderId="0" xfId="0" applyFont="1" applyAlignment="1">
      <alignment vertical="top"/>
    </xf>
    <xf numFmtId="0" fontId="37" fillId="2" borderId="0" xfId="0" applyFont="1" applyFill="1"/>
    <xf numFmtId="10" fontId="8" fillId="2" borderId="0" xfId="0" applyNumberFormat="1" applyFont="1" applyFill="1"/>
    <xf numFmtId="0" fontId="0" fillId="3" borderId="6" xfId="0" applyFill="1" applyBorder="1" applyProtection="1">
      <protection locked="0"/>
    </xf>
    <xf numFmtId="3" fontId="32" fillId="3" borderId="4" xfId="0" applyNumberFormat="1" applyFont="1" applyFill="1" applyBorder="1" applyProtection="1">
      <protection locked="0"/>
    </xf>
    <xf numFmtId="3" fontId="32" fillId="3" borderId="5" xfId="0" applyNumberFormat="1" applyFont="1" applyFill="1" applyBorder="1" applyProtection="1">
      <protection locked="0"/>
    </xf>
    <xf numFmtId="9" fontId="32" fillId="2" borderId="6" xfId="0" applyNumberFormat="1" applyFont="1" applyFill="1" applyBorder="1"/>
    <xf numFmtId="0" fontId="4" fillId="2" borderId="0" xfId="0" applyFont="1" applyFill="1" applyAlignment="1">
      <alignment vertical="center"/>
    </xf>
    <xf numFmtId="0" fontId="21" fillId="2" borderId="0" xfId="0" applyFont="1" applyFill="1"/>
    <xf numFmtId="0" fontId="24" fillId="2" borderId="0" xfId="0" applyFont="1" applyFill="1"/>
    <xf numFmtId="0" fontId="11" fillId="2" borderId="0" xfId="0" applyFont="1" applyFill="1" applyAlignment="1">
      <alignment horizontal="right"/>
    </xf>
    <xf numFmtId="0" fontId="5" fillId="2" borderId="0" xfId="0" applyFont="1" applyFill="1" applyAlignment="1">
      <alignment vertical="center"/>
    </xf>
    <xf numFmtId="0" fontId="0" fillId="2" borderId="12" xfId="0" applyFill="1" applyBorder="1" applyAlignment="1">
      <alignment horizontal="left"/>
    </xf>
    <xf numFmtId="3" fontId="11" fillId="2" borderId="0" xfId="0" applyNumberFormat="1" applyFont="1" applyFill="1"/>
    <xf numFmtId="0" fontId="34" fillId="2" borderId="0" xfId="0" applyFont="1" applyFill="1" applyAlignment="1">
      <alignment horizontal="right"/>
    </xf>
    <xf numFmtId="0" fontId="34" fillId="2" borderId="0" xfId="0" applyFont="1" applyFill="1"/>
    <xf numFmtId="164" fontId="31" fillId="2" borderId="0" xfId="0" applyNumberFormat="1" applyFont="1" applyFill="1"/>
    <xf numFmtId="0" fontId="35" fillId="2" borderId="0" xfId="0" applyFont="1" applyFill="1"/>
    <xf numFmtId="3" fontId="32" fillId="3" borderId="15" xfId="0" applyNumberFormat="1" applyFont="1" applyFill="1" applyBorder="1" applyProtection="1">
      <protection locked="0"/>
    </xf>
    <xf numFmtId="0" fontId="32" fillId="2" borderId="0" xfId="0" applyFont="1" applyFill="1"/>
    <xf numFmtId="3" fontId="32" fillId="2" borderId="5" xfId="0" applyNumberFormat="1" applyFont="1" applyFill="1" applyBorder="1"/>
    <xf numFmtId="3" fontId="32" fillId="2" borderId="15" xfId="0" applyNumberFormat="1" applyFont="1" applyFill="1" applyBorder="1"/>
    <xf numFmtId="3" fontId="32" fillId="2" borderId="0" xfId="0" applyNumberFormat="1" applyFont="1" applyFill="1"/>
    <xf numFmtId="164" fontId="32" fillId="2" borderId="0" xfId="0" applyNumberFormat="1" applyFont="1" applyFill="1"/>
    <xf numFmtId="0" fontId="32" fillId="2" borderId="0" xfId="0" applyFont="1" applyFill="1" applyAlignment="1">
      <alignment wrapText="1"/>
    </xf>
    <xf numFmtId="0" fontId="11" fillId="2" borderId="0" xfId="0" applyFont="1" applyFill="1" applyAlignment="1">
      <alignment vertical="center"/>
    </xf>
    <xf numFmtId="3" fontId="5" fillId="2" borderId="0" xfId="0" applyNumberFormat="1" applyFont="1" applyFill="1" applyAlignment="1">
      <alignment vertical="center"/>
    </xf>
    <xf numFmtId="3" fontId="8" fillId="2" borderId="0" xfId="1" applyNumberFormat="1" applyFont="1" applyFill="1" applyBorder="1" applyAlignment="1" applyProtection="1">
      <alignment vertical="center"/>
    </xf>
    <xf numFmtId="3" fontId="11" fillId="2" borderId="0" xfId="1" applyNumberFormat="1" applyFont="1" applyFill="1" applyBorder="1" applyAlignment="1" applyProtection="1">
      <alignment vertical="center"/>
    </xf>
    <xf numFmtId="169" fontId="32" fillId="2" borderId="0" xfId="0" applyNumberFormat="1" applyFont="1" applyFill="1"/>
    <xf numFmtId="168" fontId="32" fillId="2" borderId="0" xfId="0" applyNumberFormat="1" applyFont="1" applyFill="1"/>
    <xf numFmtId="3" fontId="32" fillId="2" borderId="6" xfId="0" applyNumberFormat="1" applyFont="1" applyFill="1" applyBorder="1"/>
    <xf numFmtId="168" fontId="32" fillId="2" borderId="0" xfId="0" applyNumberFormat="1" applyFont="1" applyFill="1" applyProtection="1">
      <protection locked="0"/>
    </xf>
    <xf numFmtId="167" fontId="32" fillId="2" borderId="0" xfId="0" applyNumberFormat="1" applyFont="1" applyFill="1" applyProtection="1">
      <protection locked="0"/>
    </xf>
    <xf numFmtId="168" fontId="32" fillId="2" borderId="0" xfId="0" applyNumberFormat="1" applyFont="1" applyFill="1" applyAlignment="1" applyProtection="1">
      <alignment wrapText="1"/>
      <protection locked="0"/>
    </xf>
    <xf numFmtId="167" fontId="32" fillId="2" borderId="0" xfId="0" applyNumberFormat="1" applyFont="1" applyFill="1" applyAlignment="1" applyProtection="1">
      <alignment wrapText="1"/>
      <protection locked="0"/>
    </xf>
    <xf numFmtId="10" fontId="32" fillId="3" borderId="6" xfId="0" applyNumberFormat="1" applyFont="1" applyFill="1" applyBorder="1" applyProtection="1">
      <protection locked="0"/>
    </xf>
    <xf numFmtId="3" fontId="32" fillId="2" borderId="6" xfId="0" applyNumberFormat="1" applyFont="1" applyFill="1" applyBorder="1" applyProtection="1">
      <protection locked="0"/>
    </xf>
    <xf numFmtId="3" fontId="32" fillId="3" borderId="7" xfId="0" applyNumberFormat="1" applyFont="1" applyFill="1" applyBorder="1" applyProtection="1">
      <protection locked="0"/>
    </xf>
    <xf numFmtId="3" fontId="32" fillId="3" borderId="8" xfId="0" applyNumberFormat="1" applyFont="1" applyFill="1" applyBorder="1" applyProtection="1">
      <protection locked="0"/>
    </xf>
    <xf numFmtId="3" fontId="32" fillId="3" borderId="10" xfId="0" applyNumberFormat="1" applyFont="1" applyFill="1" applyBorder="1" applyProtection="1">
      <protection locked="0"/>
    </xf>
    <xf numFmtId="3" fontId="32" fillId="3" borderId="0" xfId="0" applyNumberFormat="1" applyFont="1" applyFill="1" applyProtection="1">
      <protection locked="0"/>
    </xf>
    <xf numFmtId="3" fontId="32" fillId="3" borderId="6" xfId="0" applyNumberFormat="1" applyFont="1" applyFill="1" applyBorder="1" applyProtection="1">
      <protection locked="0"/>
    </xf>
    <xf numFmtId="0" fontId="32" fillId="0" borderId="0" xfId="0" applyFont="1"/>
    <xf numFmtId="3" fontId="32" fillId="2" borderId="4" xfId="0" applyNumberFormat="1" applyFont="1" applyFill="1" applyBorder="1"/>
    <xf numFmtId="0" fontId="32" fillId="2" borderId="0" xfId="0" applyFont="1" applyFill="1" applyAlignment="1">
      <alignment horizontal="left"/>
    </xf>
    <xf numFmtId="49" fontId="32" fillId="2" borderId="0" xfId="0" applyNumberFormat="1" applyFont="1" applyFill="1"/>
    <xf numFmtId="1" fontId="0" fillId="3" borderId="6" xfId="0" applyNumberFormat="1" applyFill="1" applyBorder="1" applyProtection="1">
      <protection locked="0"/>
    </xf>
    <xf numFmtId="168" fontId="32" fillId="3" borderId="6" xfId="0" applyNumberFormat="1" applyFont="1" applyFill="1" applyBorder="1" applyProtection="1">
      <protection locked="0"/>
    </xf>
    <xf numFmtId="167" fontId="32" fillId="3" borderId="6" xfId="0" applyNumberFormat="1" applyFont="1" applyFill="1" applyBorder="1" applyProtection="1">
      <protection locked="0"/>
    </xf>
    <xf numFmtId="168" fontId="32" fillId="3" borderId="6" xfId="0" applyNumberFormat="1" applyFont="1" applyFill="1" applyBorder="1" applyAlignment="1" applyProtection="1">
      <alignment wrapText="1"/>
      <protection locked="0"/>
    </xf>
    <xf numFmtId="168" fontId="5" fillId="3" borderId="4" xfId="0" applyNumberFormat="1" applyFont="1" applyFill="1" applyBorder="1" applyProtection="1">
      <protection locked="0"/>
    </xf>
    <xf numFmtId="168" fontId="5" fillId="3" borderId="15" xfId="0" applyNumberFormat="1" applyFont="1" applyFill="1" applyBorder="1" applyProtection="1">
      <protection locked="0"/>
    </xf>
    <xf numFmtId="3" fontId="5" fillId="3" borderId="4" xfId="0" applyNumberFormat="1" applyFont="1" applyFill="1" applyBorder="1" applyProtection="1">
      <protection locked="0"/>
    </xf>
    <xf numFmtId="3" fontId="5" fillId="3" borderId="15" xfId="0" applyNumberFormat="1" applyFont="1" applyFill="1" applyBorder="1" applyProtection="1">
      <protection locked="0"/>
    </xf>
    <xf numFmtId="168" fontId="5" fillId="3" borderId="5" xfId="0" applyNumberFormat="1" applyFont="1" applyFill="1" applyBorder="1" applyProtection="1">
      <protection locked="0"/>
    </xf>
    <xf numFmtId="0" fontId="5" fillId="4" borderId="0" xfId="0" applyFont="1" applyFill="1"/>
    <xf numFmtId="0" fontId="5" fillId="4" borderId="0" xfId="0" applyFont="1" applyFill="1" applyAlignment="1">
      <alignment horizontal="left"/>
    </xf>
    <xf numFmtId="0" fontId="5" fillId="4" borderId="0" xfId="0" applyFont="1" applyFill="1" applyAlignment="1">
      <alignment wrapText="1"/>
    </xf>
    <xf numFmtId="167" fontId="5" fillId="5" borderId="0" xfId="0" applyNumberFormat="1" applyFont="1" applyFill="1"/>
    <xf numFmtId="167" fontId="32" fillId="5" borderId="0" xfId="0" applyNumberFormat="1" applyFont="1" applyFill="1"/>
    <xf numFmtId="167" fontId="0" fillId="5" borderId="0" xfId="0" applyNumberFormat="1" applyFill="1"/>
    <xf numFmtId="0" fontId="8" fillId="5" borderId="0" xfId="0" applyFont="1" applyFill="1"/>
    <xf numFmtId="0" fontId="13" fillId="5" borderId="0" xfId="0" applyFont="1" applyFill="1"/>
    <xf numFmtId="165" fontId="5" fillId="5" borderId="0" xfId="0" applyNumberFormat="1" applyFont="1" applyFill="1"/>
    <xf numFmtId="0" fontId="4" fillId="5" borderId="0" xfId="0" applyFont="1" applyFill="1" applyAlignment="1">
      <alignment wrapText="1"/>
    </xf>
    <xf numFmtId="0" fontId="4" fillId="5" borderId="0" xfId="0" applyFont="1" applyFill="1" applyAlignment="1">
      <alignment vertical="top" wrapText="1"/>
    </xf>
    <xf numFmtId="165" fontId="8" fillId="5" borderId="0" xfId="0" applyNumberFormat="1" applyFont="1" applyFill="1"/>
    <xf numFmtId="170" fontId="5" fillId="5" borderId="0" xfId="0" applyNumberFormat="1" applyFont="1" applyFill="1"/>
    <xf numFmtId="170" fontId="5" fillId="5" borderId="0" xfId="0" applyNumberFormat="1" applyFont="1" applyFill="1" applyAlignment="1">
      <alignment horizontal="right"/>
    </xf>
    <xf numFmtId="170" fontId="8" fillId="5" borderId="0" xfId="0" applyNumberFormat="1" applyFont="1" applyFill="1"/>
    <xf numFmtId="170" fontId="8" fillId="5" borderId="0" xfId="0" applyNumberFormat="1" applyFont="1" applyFill="1" applyAlignment="1">
      <alignment horizontal="right"/>
    </xf>
    <xf numFmtId="2" fontId="5" fillId="5" borderId="0" xfId="0" applyNumberFormat="1" applyFont="1" applyFill="1" applyAlignment="1">
      <alignment wrapText="1"/>
    </xf>
    <xf numFmtId="0" fontId="4" fillId="5" borderId="0" xfId="0" applyFont="1" applyFill="1" applyAlignment="1">
      <alignment horizontal="left" vertical="top"/>
    </xf>
    <xf numFmtId="0" fontId="6" fillId="5" borderId="0" xfId="0" applyFont="1" applyFill="1"/>
    <xf numFmtId="0" fontId="5" fillId="5" borderId="0" xfId="0" applyFont="1" applyFill="1" applyAlignment="1">
      <alignment horizontal="right"/>
    </xf>
    <xf numFmtId="0" fontId="5" fillId="2" borderId="11" xfId="0" applyFont="1" applyFill="1" applyBorder="1"/>
    <xf numFmtId="0" fontId="0" fillId="2" borderId="13" xfId="0" applyFill="1" applyBorder="1"/>
    <xf numFmtId="3" fontId="15" fillId="2" borderId="0" xfId="0" applyNumberFormat="1" applyFont="1" applyFill="1"/>
    <xf numFmtId="165" fontId="0" fillId="2" borderId="0" xfId="0" applyNumberFormat="1" applyFill="1" applyAlignment="1">
      <alignment horizontal="left"/>
    </xf>
    <xf numFmtId="0" fontId="0" fillId="2" borderId="10" xfId="0" applyFill="1" applyBorder="1" applyAlignment="1">
      <alignment horizontal="left"/>
    </xf>
    <xf numFmtId="3" fontId="5" fillId="2" borderId="11" xfId="0" applyNumberFormat="1" applyFont="1" applyFill="1" applyBorder="1" applyAlignment="1">
      <alignment horizontal="left"/>
    </xf>
    <xf numFmtId="0" fontId="4" fillId="5" borderId="0" xfId="0" applyFont="1" applyFill="1" applyAlignment="1">
      <alignment vertical="top"/>
    </xf>
    <xf numFmtId="170" fontId="15" fillId="2" borderId="0" xfId="0" applyNumberFormat="1" applyFont="1" applyFill="1"/>
    <xf numFmtId="3" fontId="32" fillId="3" borderId="12" xfId="0" applyNumberFormat="1" applyFont="1" applyFill="1" applyBorder="1" applyProtection="1">
      <protection locked="0"/>
    </xf>
    <xf numFmtId="3" fontId="32" fillId="3" borderId="13" xfId="0" applyNumberFormat="1" applyFont="1" applyFill="1" applyBorder="1" applyProtection="1">
      <protection locked="0"/>
    </xf>
    <xf numFmtId="3" fontId="5" fillId="2" borderId="0" xfId="0" applyNumberFormat="1" applyFont="1" applyFill="1" applyProtection="1">
      <protection locked="0"/>
    </xf>
    <xf numFmtId="2" fontId="32" fillId="2" borderId="0" xfId="0" applyNumberFormat="1" applyFont="1" applyFill="1"/>
    <xf numFmtId="2" fontId="5" fillId="0" borderId="0" xfId="0" applyNumberFormat="1" applyFont="1"/>
    <xf numFmtId="0" fontId="41" fillId="0" borderId="0" xfId="0" applyFont="1" applyAlignment="1">
      <alignment wrapText="1"/>
    </xf>
    <xf numFmtId="3" fontId="32" fillId="2" borderId="4" xfId="0" applyNumberFormat="1" applyFont="1" applyFill="1" applyBorder="1" applyProtection="1">
      <protection locked="0"/>
    </xf>
    <xf numFmtId="1" fontId="5" fillId="5" borderId="0" xfId="0" applyNumberFormat="1" applyFont="1" applyFill="1" applyAlignment="1">
      <alignment horizontal="center"/>
    </xf>
    <xf numFmtId="1" fontId="5" fillId="5" borderId="0" xfId="0" applyNumberFormat="1" applyFont="1" applyFill="1"/>
    <xf numFmtId="1" fontId="5" fillId="5" borderId="0" xfId="0" applyNumberFormat="1" applyFont="1" applyFill="1" applyAlignment="1">
      <alignment horizontal="right"/>
    </xf>
    <xf numFmtId="0" fontId="5" fillId="5" borderId="0" xfId="0" applyFont="1" applyFill="1" applyAlignment="1">
      <alignment horizontal="center"/>
    </xf>
    <xf numFmtId="0" fontId="5" fillId="5" borderId="0" xfId="0" applyFont="1" applyFill="1" applyAlignment="1">
      <alignment horizontal="center" vertical="center" wrapText="1"/>
    </xf>
    <xf numFmtId="170" fontId="15" fillId="5" borderId="0" xfId="0" applyNumberFormat="1" applyFont="1" applyFill="1"/>
    <xf numFmtId="49" fontId="42" fillId="5" borderId="0" xfId="0" quotePrefix="1" applyNumberFormat="1" applyFont="1" applyFill="1"/>
    <xf numFmtId="167" fontId="5" fillId="5" borderId="0" xfId="0" applyNumberFormat="1" applyFont="1" applyFill="1" applyAlignment="1">
      <alignment vertical="top" wrapText="1"/>
    </xf>
    <xf numFmtId="170" fontId="5" fillId="5" borderId="0" xfId="0" quotePrefix="1" applyNumberFormat="1" applyFont="1" applyFill="1" applyAlignment="1">
      <alignment horizontal="left"/>
    </xf>
    <xf numFmtId="0" fontId="5" fillId="5" borderId="0" xfId="0" applyFont="1" applyFill="1" applyAlignment="1">
      <alignment vertical="center"/>
    </xf>
    <xf numFmtId="3" fontId="5" fillId="5" borderId="0" xfId="0" applyNumberFormat="1" applyFont="1" applyFill="1"/>
    <xf numFmtId="167" fontId="5" fillId="5" borderId="0" xfId="0" applyNumberFormat="1" applyFont="1" applyFill="1" applyAlignment="1">
      <alignment horizontal="right"/>
    </xf>
    <xf numFmtId="3" fontId="5" fillId="2" borderId="6" xfId="0" applyNumberFormat="1" applyFont="1" applyFill="1" applyBorder="1"/>
    <xf numFmtId="0" fontId="51" fillId="6" borderId="19" xfId="0" applyFont="1" applyFill="1" applyBorder="1" applyAlignment="1">
      <alignment horizontal="left"/>
    </xf>
    <xf numFmtId="0" fontId="52" fillId="6" borderId="20" xfId="0" applyFont="1" applyFill="1" applyBorder="1"/>
    <xf numFmtId="0" fontId="52" fillId="6" borderId="25" xfId="0" applyFont="1" applyFill="1" applyBorder="1"/>
    <xf numFmtId="0" fontId="51" fillId="0" borderId="0" xfId="0" applyFont="1"/>
    <xf numFmtId="0" fontId="53" fillId="6" borderId="22" xfId="0" applyFont="1" applyFill="1" applyBorder="1" applyAlignment="1">
      <alignment horizontal="center"/>
    </xf>
    <xf numFmtId="0" fontId="54" fillId="6" borderId="0" xfId="0" applyFont="1" applyFill="1"/>
    <xf numFmtId="0" fontId="54" fillId="6" borderId="26" xfId="0" applyFont="1" applyFill="1" applyBorder="1" applyAlignment="1">
      <alignment horizontal="center"/>
    </xf>
    <xf numFmtId="0" fontId="54" fillId="6" borderId="0" xfId="0" applyFont="1" applyFill="1" applyAlignment="1">
      <alignment horizontal="center"/>
    </xf>
    <xf numFmtId="0" fontId="54" fillId="6" borderId="26" xfId="0" applyFont="1" applyFill="1" applyBorder="1"/>
    <xf numFmtId="0" fontId="54" fillId="6" borderId="23" xfId="0" applyFont="1" applyFill="1" applyBorder="1"/>
    <xf numFmtId="0" fontId="53" fillId="0" borderId="0" xfId="0" applyFont="1"/>
    <xf numFmtId="0" fontId="24" fillId="7" borderId="22" xfId="0" applyFont="1" applyFill="1" applyBorder="1" applyAlignment="1">
      <alignment horizontal="center"/>
    </xf>
    <xf numFmtId="49" fontId="24" fillId="7" borderId="0" xfId="0" applyNumberFormat="1" applyFont="1" applyFill="1"/>
    <xf numFmtId="49" fontId="24" fillId="7" borderId="11" xfId="0" applyNumberFormat="1" applyFont="1" applyFill="1" applyBorder="1" applyAlignment="1">
      <alignment horizontal="center"/>
    </xf>
    <xf numFmtId="167" fontId="53" fillId="11" borderId="0" xfId="0" applyNumberFormat="1" applyFont="1" applyFill="1" applyAlignment="1">
      <alignment horizontal="center"/>
    </xf>
    <xf numFmtId="49" fontId="24" fillId="7" borderId="11" xfId="0" quotePrefix="1" applyNumberFormat="1" applyFont="1" applyFill="1" applyBorder="1"/>
    <xf numFmtId="167" fontId="53" fillId="11" borderId="0" xfId="0" quotePrefix="1" applyNumberFormat="1" applyFont="1" applyFill="1" applyAlignment="1">
      <alignment horizontal="center"/>
    </xf>
    <xf numFmtId="49" fontId="24" fillId="7" borderId="23" xfId="0" quotePrefix="1" applyNumberFormat="1" applyFont="1" applyFill="1" applyBorder="1"/>
    <xf numFmtId="0" fontId="24" fillId="0" borderId="0" xfId="0" applyFont="1"/>
    <xf numFmtId="3" fontId="24" fillId="0" borderId="0" xfId="0" applyNumberFormat="1" applyFont="1"/>
    <xf numFmtId="49" fontId="24" fillId="7" borderId="11" xfId="0" applyNumberFormat="1" applyFont="1" applyFill="1" applyBorder="1"/>
    <xf numFmtId="49" fontId="24" fillId="7" borderId="23" xfId="0" applyNumberFormat="1" applyFont="1" applyFill="1" applyBorder="1"/>
    <xf numFmtId="0" fontId="24" fillId="7" borderId="0" xfId="0" applyFont="1" applyFill="1"/>
    <xf numFmtId="167" fontId="55" fillId="7" borderId="0" xfId="0" applyNumberFormat="1" applyFont="1" applyFill="1" applyAlignment="1">
      <alignment horizontal="center"/>
    </xf>
    <xf numFmtId="166" fontId="24" fillId="7" borderId="11" xfId="0" quotePrefix="1" applyNumberFormat="1" applyFont="1" applyFill="1" applyBorder="1"/>
    <xf numFmtId="166" fontId="24" fillId="7" borderId="23" xfId="0" quotePrefix="1" applyNumberFormat="1" applyFont="1" applyFill="1" applyBorder="1"/>
    <xf numFmtId="1" fontId="24" fillId="7" borderId="22" xfId="0" applyNumberFormat="1" applyFont="1" applyFill="1" applyBorder="1" applyAlignment="1">
      <alignment horizontal="center"/>
    </xf>
    <xf numFmtId="0" fontId="24" fillId="7" borderId="11" xfId="0" applyFont="1" applyFill="1" applyBorder="1" applyAlignment="1">
      <alignment horizontal="center"/>
    </xf>
    <xf numFmtId="49" fontId="38" fillId="7" borderId="11" xfId="0" quotePrefix="1" applyNumberFormat="1" applyFont="1" applyFill="1" applyBorder="1"/>
    <xf numFmtId="49" fontId="38" fillId="7" borderId="23" xfId="0" quotePrefix="1" applyNumberFormat="1" applyFont="1" applyFill="1" applyBorder="1"/>
    <xf numFmtId="1" fontId="24" fillId="7" borderId="27" xfId="0" applyNumberFormat="1" applyFont="1" applyFill="1" applyBorder="1" applyAlignment="1">
      <alignment horizontal="center"/>
    </xf>
    <xf numFmtId="0" fontId="24" fillId="7" borderId="28" xfId="0" applyFont="1" applyFill="1" applyBorder="1"/>
    <xf numFmtId="49" fontId="24" fillId="7" borderId="29" xfId="0" applyNumberFormat="1" applyFont="1" applyFill="1" applyBorder="1" applyAlignment="1">
      <alignment horizontal="center"/>
    </xf>
    <xf numFmtId="167" fontId="53" fillId="11" borderId="28" xfId="0" applyNumberFormat="1" applyFont="1" applyFill="1" applyBorder="1" applyAlignment="1">
      <alignment horizontal="center"/>
    </xf>
    <xf numFmtId="166" fontId="24" fillId="7" borderId="29" xfId="0" quotePrefix="1" applyNumberFormat="1" applyFont="1" applyFill="1" applyBorder="1"/>
    <xf numFmtId="167" fontId="53" fillId="11" borderId="28" xfId="0" quotePrefix="1" applyNumberFormat="1" applyFont="1" applyFill="1" applyBorder="1" applyAlignment="1">
      <alignment horizontal="center"/>
    </xf>
    <xf numFmtId="166" fontId="24" fillId="7" borderId="30" xfId="0" quotePrefix="1" applyNumberFormat="1" applyFont="1" applyFill="1" applyBorder="1"/>
    <xf numFmtId="166" fontId="24" fillId="0" borderId="0" xfId="0" applyNumberFormat="1" applyFont="1"/>
    <xf numFmtId="167" fontId="24" fillId="0" borderId="0" xfId="0" applyNumberFormat="1" applyFont="1" applyAlignment="1">
      <alignment horizontal="center"/>
    </xf>
    <xf numFmtId="49" fontId="24" fillId="0" borderId="0" xfId="0" quotePrefix="1" applyNumberFormat="1" applyFont="1"/>
    <xf numFmtId="167" fontId="24" fillId="0" borderId="0" xfId="0" quotePrefix="1" applyNumberFormat="1" applyFont="1" applyAlignment="1">
      <alignment horizontal="center"/>
    </xf>
    <xf numFmtId="0" fontId="24" fillId="6" borderId="20" xfId="0" applyFont="1" applyFill="1" applyBorder="1"/>
    <xf numFmtId="49" fontId="53" fillId="6" borderId="25" xfId="0" quotePrefix="1" applyNumberFormat="1" applyFont="1" applyFill="1" applyBorder="1"/>
    <xf numFmtId="167" fontId="53" fillId="6" borderId="26" xfId="0" applyNumberFormat="1" applyFont="1" applyFill="1" applyBorder="1" applyAlignment="1">
      <alignment horizontal="center"/>
    </xf>
    <xf numFmtId="49" fontId="53" fillId="6" borderId="26" xfId="0" quotePrefix="1" applyNumberFormat="1" applyFont="1" applyFill="1" applyBorder="1"/>
    <xf numFmtId="167" fontId="24" fillId="7" borderId="0" xfId="0" applyNumberFormat="1" applyFont="1" applyFill="1" applyAlignment="1">
      <alignment horizontal="center"/>
    </xf>
    <xf numFmtId="0" fontId="24" fillId="7" borderId="23" xfId="0" applyFont="1" applyFill="1" applyBorder="1"/>
    <xf numFmtId="0" fontId="56" fillId="0" borderId="0" xfId="0" applyFont="1" applyAlignment="1">
      <alignment horizontal="center"/>
    </xf>
    <xf numFmtId="0" fontId="56" fillId="0" borderId="0" xfId="0" applyFont="1"/>
    <xf numFmtId="0" fontId="24" fillId="7" borderId="0" xfId="0" applyFont="1" applyFill="1" applyAlignment="1">
      <alignment horizontal="center"/>
    </xf>
    <xf numFmtId="0" fontId="24" fillId="7" borderId="0" xfId="0" applyFont="1" applyFill="1" applyAlignment="1">
      <alignment horizontal="left"/>
    </xf>
    <xf numFmtId="0" fontId="24" fillId="7" borderId="27" xfId="0" applyFont="1" applyFill="1" applyBorder="1" applyAlignment="1">
      <alignment horizontal="center"/>
    </xf>
    <xf numFmtId="49" fontId="24" fillId="7" borderId="28" xfId="0" applyNumberFormat="1" applyFont="1" applyFill="1" applyBorder="1"/>
    <xf numFmtId="0" fontId="24" fillId="7" borderId="28" xfId="0" applyFont="1" applyFill="1" applyBorder="1" applyAlignment="1">
      <alignment horizontal="center"/>
    </xf>
    <xf numFmtId="0" fontId="24" fillId="7" borderId="28" xfId="0" applyFont="1" applyFill="1" applyBorder="1" applyAlignment="1">
      <alignment horizontal="left"/>
    </xf>
    <xf numFmtId="0" fontId="24" fillId="7" borderId="30" xfId="0" applyFont="1" applyFill="1" applyBorder="1"/>
    <xf numFmtId="0" fontId="24" fillId="0" borderId="0" xfId="0" applyFont="1" applyAlignment="1">
      <alignment horizontal="center"/>
    </xf>
    <xf numFmtId="49" fontId="24" fillId="0" borderId="0" xfId="0" applyNumberFormat="1" applyFont="1"/>
    <xf numFmtId="167" fontId="53" fillId="0" borderId="0" xfId="0" applyNumberFormat="1" applyFont="1" applyAlignment="1">
      <alignment horizontal="center"/>
    </xf>
    <xf numFmtId="0" fontId="24" fillId="0" borderId="0" xfId="0" applyFont="1" applyAlignment="1">
      <alignment horizontal="left"/>
    </xf>
    <xf numFmtId="0" fontId="24" fillId="7" borderId="23" xfId="0" applyFont="1" applyFill="1" applyBorder="1" applyAlignment="1">
      <alignment horizontal="left"/>
    </xf>
    <xf numFmtId="0" fontId="24" fillId="7" borderId="30" xfId="0" applyFont="1" applyFill="1" applyBorder="1" applyAlignment="1">
      <alignment horizontal="left"/>
    </xf>
    <xf numFmtId="166" fontId="51" fillId="6" borderId="19" xfId="0" applyNumberFormat="1" applyFont="1" applyFill="1" applyBorder="1"/>
    <xf numFmtId="0" fontId="53" fillId="6" borderId="20" xfId="0" applyFont="1" applyFill="1" applyBorder="1"/>
    <xf numFmtId="167" fontId="53" fillId="6" borderId="20" xfId="0" applyNumberFormat="1" applyFont="1" applyFill="1" applyBorder="1" applyAlignment="1">
      <alignment horizontal="center"/>
    </xf>
    <xf numFmtId="167" fontId="53" fillId="6" borderId="20" xfId="0" quotePrefix="1" applyNumberFormat="1" applyFont="1" applyFill="1" applyBorder="1" applyAlignment="1">
      <alignment horizontal="center"/>
    </xf>
    <xf numFmtId="49" fontId="53" fillId="6" borderId="20" xfId="0" quotePrefix="1" applyNumberFormat="1" applyFont="1" applyFill="1" applyBorder="1"/>
    <xf numFmtId="49" fontId="53" fillId="6" borderId="21" xfId="0" quotePrefix="1" applyNumberFormat="1" applyFont="1" applyFill="1" applyBorder="1"/>
    <xf numFmtId="0" fontId="53" fillId="6" borderId="22" xfId="0" applyFont="1" applyFill="1" applyBorder="1"/>
    <xf numFmtId="49" fontId="53" fillId="6" borderId="0" xfId="0" applyNumberFormat="1" applyFont="1" applyFill="1"/>
    <xf numFmtId="0" fontId="53" fillId="6" borderId="0" xfId="0" applyFont="1" applyFill="1" applyAlignment="1">
      <alignment horizontal="center"/>
    </xf>
    <xf numFmtId="49" fontId="53" fillId="6" borderId="26" xfId="0" applyNumberFormat="1" applyFont="1" applyFill="1" applyBorder="1"/>
    <xf numFmtId="0" fontId="53" fillId="6" borderId="0" xfId="0" applyFont="1" applyFill="1"/>
    <xf numFmtId="49" fontId="53" fillId="6" borderId="23" xfId="0" applyNumberFormat="1" applyFont="1" applyFill="1" applyBorder="1"/>
    <xf numFmtId="0" fontId="24" fillId="7" borderId="22" xfId="0" applyFont="1" applyFill="1" applyBorder="1"/>
    <xf numFmtId="167" fontId="24" fillId="12" borderId="0" xfId="3" applyNumberFormat="1" applyFont="1" applyFill="1" applyBorder="1" applyAlignment="1">
      <alignment horizontal="right"/>
    </xf>
    <xf numFmtId="0" fontId="24" fillId="7" borderId="11" xfId="0" applyFont="1" applyFill="1" applyBorder="1" applyAlignment="1">
      <alignment horizontal="left"/>
    </xf>
    <xf numFmtId="0" fontId="24" fillId="7" borderId="0" xfId="0" quotePrefix="1" applyFont="1" applyFill="1" applyAlignment="1">
      <alignment horizontal="center"/>
    </xf>
    <xf numFmtId="166" fontId="24" fillId="12" borderId="0" xfId="3" applyNumberFormat="1" applyFont="1" applyFill="1" applyBorder="1" applyAlignment="1">
      <alignment horizontal="right"/>
    </xf>
    <xf numFmtId="167" fontId="24" fillId="12" borderId="0" xfId="3" applyNumberFormat="1" applyFont="1" applyFill="1" applyBorder="1"/>
    <xf numFmtId="167" fontId="24" fillId="13" borderId="0" xfId="3" applyNumberFormat="1" applyFont="1" applyFill="1" applyBorder="1"/>
    <xf numFmtId="2" fontId="24" fillId="13" borderId="0" xfId="3" applyNumberFormat="1" applyFont="1" applyFill="1" applyBorder="1"/>
    <xf numFmtId="2" fontId="24" fillId="13" borderId="0" xfId="0" applyNumberFormat="1" applyFont="1" applyFill="1"/>
    <xf numFmtId="167" fontId="24" fillId="13" borderId="0" xfId="0" applyNumberFormat="1" applyFont="1" applyFill="1"/>
    <xf numFmtId="0" fontId="24" fillId="7" borderId="0" xfId="0" quotePrefix="1" applyFont="1" applyFill="1" applyAlignment="1">
      <alignment horizontal="right"/>
    </xf>
    <xf numFmtId="0" fontId="24" fillId="7" borderId="0" xfId="0" quotePrefix="1" applyFont="1" applyFill="1" applyAlignment="1">
      <alignment horizontal="left"/>
    </xf>
    <xf numFmtId="0" fontId="24" fillId="7" borderId="0" xfId="0" applyFont="1" applyFill="1" applyAlignment="1">
      <alignment horizontal="center" vertical="center"/>
    </xf>
    <xf numFmtId="167" fontId="24" fillId="12" borderId="0" xfId="3" applyNumberFormat="1" applyFont="1" applyFill="1" applyBorder="1" applyAlignment="1">
      <alignment vertical="center"/>
    </xf>
    <xf numFmtId="167" fontId="24" fillId="13" borderId="0" xfId="4" applyNumberFormat="1" applyFont="1" applyFill="1" applyBorder="1" applyAlignment="1">
      <alignment horizontal="right"/>
    </xf>
    <xf numFmtId="0" fontId="24" fillId="7" borderId="22" xfId="0" applyFont="1" applyFill="1" applyBorder="1" applyAlignment="1">
      <alignment horizontal="left"/>
    </xf>
    <xf numFmtId="0" fontId="24" fillId="12" borderId="0" xfId="3" applyFont="1" applyFill="1" applyBorder="1" applyAlignment="1">
      <alignment horizontal="right"/>
    </xf>
    <xf numFmtId="0" fontId="24" fillId="12" borderId="0" xfId="0" applyFont="1" applyFill="1"/>
    <xf numFmtId="1" fontId="24" fillId="13" borderId="0" xfId="0" applyNumberFormat="1" applyFont="1" applyFill="1"/>
    <xf numFmtId="9" fontId="24" fillId="12" borderId="0" xfId="0" applyNumberFormat="1" applyFont="1" applyFill="1"/>
    <xf numFmtId="9" fontId="24" fillId="13" borderId="0" xfId="0" applyNumberFormat="1" applyFont="1" applyFill="1"/>
    <xf numFmtId="171" fontId="24" fillId="13" borderId="0" xfId="0" applyNumberFormat="1" applyFont="1" applyFill="1"/>
    <xf numFmtId="0" fontId="24" fillId="13" borderId="0" xfId="0" applyFont="1" applyFill="1"/>
    <xf numFmtId="0" fontId="24" fillId="7" borderId="27" xfId="0" applyFont="1" applyFill="1" applyBorder="1" applyAlignment="1">
      <alignment horizontal="left"/>
    </xf>
    <xf numFmtId="0" fontId="24" fillId="12" borderId="28" xfId="0" applyFont="1" applyFill="1" applyBorder="1"/>
    <xf numFmtId="0" fontId="24" fillId="7" borderId="29" xfId="0" applyFont="1" applyFill="1" applyBorder="1" applyAlignment="1">
      <alignment horizontal="left"/>
    </xf>
    <xf numFmtId="0" fontId="24" fillId="13" borderId="28" xfId="0" applyFont="1" applyFill="1" applyBorder="1"/>
    <xf numFmtId="0" fontId="56" fillId="0" borderId="0" xfId="0" applyFont="1" applyAlignment="1">
      <alignment horizontal="right"/>
    </xf>
    <xf numFmtId="0" fontId="56" fillId="0" borderId="0" xfId="0" applyFont="1" applyAlignment="1">
      <alignment horizontal="left"/>
    </xf>
    <xf numFmtId="167" fontId="56" fillId="0" borderId="0" xfId="0" applyNumberFormat="1" applyFont="1" applyAlignment="1">
      <alignment horizontal="center"/>
    </xf>
    <xf numFmtId="0" fontId="46" fillId="0" borderId="0" xfId="0" applyFont="1" applyAlignment="1">
      <alignment wrapText="1"/>
    </xf>
    <xf numFmtId="170" fontId="5" fillId="0" borderId="0" xfId="0" applyNumberFormat="1" applyFont="1" applyAlignment="1">
      <alignment horizontal="left" vertical="center" wrapText="1"/>
    </xf>
    <xf numFmtId="0" fontId="40" fillId="0" borderId="0" xfId="0" applyFont="1" applyAlignment="1">
      <alignment vertical="top" wrapText="1"/>
    </xf>
    <xf numFmtId="3" fontId="32" fillId="2" borderId="5" xfId="0" applyNumberFormat="1" applyFont="1" applyFill="1" applyBorder="1" applyProtection="1">
      <protection locked="0"/>
    </xf>
    <xf numFmtId="49" fontId="5" fillId="3" borderId="10" xfId="0" applyNumberFormat="1" applyFont="1" applyFill="1" applyBorder="1" applyProtection="1">
      <protection locked="0"/>
    </xf>
    <xf numFmtId="49" fontId="5" fillId="3" borderId="0" xfId="0" applyNumberFormat="1" applyFont="1" applyFill="1" applyProtection="1">
      <protection locked="0"/>
    </xf>
    <xf numFmtId="49" fontId="5" fillId="3" borderId="11" xfId="0" applyNumberFormat="1" applyFont="1" applyFill="1" applyBorder="1" applyProtection="1">
      <protection locked="0"/>
    </xf>
    <xf numFmtId="0" fontId="5" fillId="3" borderId="1" xfId="0" applyFont="1" applyFill="1" applyBorder="1" applyProtection="1">
      <protection locked="0"/>
    </xf>
    <xf numFmtId="0" fontId="0" fillId="3" borderId="2" xfId="0" applyFill="1" applyBorder="1" applyProtection="1">
      <protection locked="0"/>
    </xf>
    <xf numFmtId="0" fontId="0" fillId="3" borderId="3" xfId="0" applyFill="1" applyBorder="1" applyProtection="1">
      <protection locked="0"/>
    </xf>
    <xf numFmtId="3" fontId="5" fillId="3" borderId="1" xfId="0" applyNumberFormat="1" applyFont="1" applyFill="1" applyBorder="1" applyAlignment="1" applyProtection="1">
      <alignment horizontal="left" vertical="top" wrapText="1"/>
      <protection locked="0"/>
    </xf>
    <xf numFmtId="0" fontId="0" fillId="3" borderId="2" xfId="0" applyFill="1" applyBorder="1" applyAlignment="1" applyProtection="1">
      <alignment vertical="top" wrapText="1"/>
      <protection locked="0"/>
    </xf>
    <xf numFmtId="0" fontId="0" fillId="3" borderId="3" xfId="0" applyFill="1" applyBorder="1" applyAlignment="1" applyProtection="1">
      <alignment vertical="top" wrapText="1"/>
      <protection locked="0"/>
    </xf>
    <xf numFmtId="49" fontId="5" fillId="3" borderId="1" xfId="0" applyNumberFormat="1" applyFont="1" applyFill="1" applyBorder="1" applyAlignment="1" applyProtection="1">
      <alignment vertical="top" wrapText="1"/>
      <protection locked="0"/>
    </xf>
    <xf numFmtId="49" fontId="5" fillId="3" borderId="2" xfId="0" applyNumberFormat="1" applyFont="1" applyFill="1" applyBorder="1" applyAlignment="1" applyProtection="1">
      <alignment vertical="top" wrapText="1"/>
      <protection locked="0"/>
    </xf>
    <xf numFmtId="49" fontId="5" fillId="3" borderId="7" xfId="0" applyNumberFormat="1" applyFont="1" applyFill="1" applyBorder="1" applyProtection="1">
      <protection locked="0"/>
    </xf>
    <xf numFmtId="49" fontId="5" fillId="3" borderId="8" xfId="0" applyNumberFormat="1" applyFont="1" applyFill="1" applyBorder="1" applyProtection="1">
      <protection locked="0"/>
    </xf>
    <xf numFmtId="49" fontId="5" fillId="3" borderId="9" xfId="0" applyNumberFormat="1" applyFont="1" applyFill="1" applyBorder="1" applyProtection="1">
      <protection locked="0"/>
    </xf>
    <xf numFmtId="0" fontId="5" fillId="3" borderId="10" xfId="0" applyFont="1" applyFill="1" applyBorder="1" applyProtection="1">
      <protection locked="0"/>
    </xf>
    <xf numFmtId="0" fontId="5" fillId="3" borderId="0" xfId="0" applyFont="1" applyFill="1" applyProtection="1">
      <protection locked="0"/>
    </xf>
    <xf numFmtId="0" fontId="5" fillId="3" borderId="11" xfId="0" applyFont="1" applyFill="1" applyBorder="1" applyProtection="1">
      <protection locked="0"/>
    </xf>
    <xf numFmtId="49" fontId="0" fillId="3" borderId="0" xfId="0" applyNumberFormat="1" applyFill="1" applyProtection="1">
      <protection locked="0"/>
    </xf>
    <xf numFmtId="49" fontId="0" fillId="3" borderId="11" xfId="0" applyNumberFormat="1" applyFill="1" applyBorder="1" applyProtection="1">
      <protection locked="0"/>
    </xf>
    <xf numFmtId="49" fontId="5" fillId="3" borderId="12" xfId="0" applyNumberFormat="1" applyFont="1" applyFill="1" applyBorder="1" applyProtection="1">
      <protection locked="0"/>
    </xf>
    <xf numFmtId="49" fontId="0" fillId="3" borderId="13" xfId="0" applyNumberFormat="1" applyFill="1" applyBorder="1" applyProtection="1">
      <protection locked="0"/>
    </xf>
    <xf numFmtId="49" fontId="0" fillId="3" borderId="14" xfId="0" applyNumberFormat="1" applyFill="1" applyBorder="1" applyProtection="1">
      <protection locked="0"/>
    </xf>
    <xf numFmtId="0" fontId="4" fillId="2" borderId="0" xfId="0" applyFont="1" applyFill="1"/>
    <xf numFmtId="0" fontId="0" fillId="2" borderId="0" xfId="0" applyFill="1"/>
    <xf numFmtId="49" fontId="5" fillId="3" borderId="1" xfId="0" applyNumberFormat="1" applyFont="1" applyFill="1" applyBorder="1" applyProtection="1">
      <protection locked="0"/>
    </xf>
    <xf numFmtId="49" fontId="0" fillId="3" borderId="2" xfId="0" applyNumberFormat="1" applyFill="1" applyBorder="1" applyProtection="1">
      <protection locked="0"/>
    </xf>
    <xf numFmtId="49" fontId="0" fillId="3" borderId="3" xfId="0" applyNumberFormat="1" applyFill="1" applyBorder="1" applyProtection="1">
      <protection locked="0"/>
    </xf>
    <xf numFmtId="0" fontId="5" fillId="2" borderId="1" xfId="0" applyFont="1" applyFill="1" applyBorder="1"/>
    <xf numFmtId="0" fontId="32" fillId="2" borderId="2" xfId="0" applyFont="1" applyFill="1" applyBorder="1"/>
    <xf numFmtId="0" fontId="32" fillId="2" borderId="3" xfId="0" applyFont="1" applyFill="1" applyBorder="1"/>
    <xf numFmtId="0" fontId="5" fillId="3" borderId="7" xfId="0" applyFont="1" applyFill="1" applyBorder="1" applyProtection="1">
      <protection locked="0"/>
    </xf>
    <xf numFmtId="0" fontId="5" fillId="3" borderId="8" xfId="0" applyFont="1" applyFill="1" applyBorder="1" applyProtection="1">
      <protection locked="0"/>
    </xf>
    <xf numFmtId="0" fontId="5" fillId="3" borderId="9" xfId="0" applyFont="1" applyFill="1" applyBorder="1" applyProtection="1">
      <protection locked="0"/>
    </xf>
    <xf numFmtId="0" fontId="32" fillId="3" borderId="0" xfId="0" applyFont="1" applyFill="1" applyProtection="1">
      <protection locked="0"/>
    </xf>
    <xf numFmtId="0" fontId="32" fillId="3" borderId="11" xfId="0" applyFont="1" applyFill="1" applyBorder="1" applyProtection="1">
      <protection locked="0"/>
    </xf>
    <xf numFmtId="0" fontId="5" fillId="3" borderId="12" xfId="0" applyFont="1" applyFill="1" applyBorder="1" applyProtection="1">
      <protection locked="0"/>
    </xf>
    <xf numFmtId="0" fontId="32" fillId="3" borderId="13" xfId="0" applyFont="1" applyFill="1" applyBorder="1" applyProtection="1">
      <protection locked="0"/>
    </xf>
    <xf numFmtId="0" fontId="32" fillId="3" borderId="14" xfId="0" applyFont="1" applyFill="1" applyBorder="1" applyProtection="1">
      <protection locked="0"/>
    </xf>
    <xf numFmtId="0" fontId="32" fillId="3" borderId="8" xfId="0" applyFont="1" applyFill="1" applyBorder="1" applyProtection="1">
      <protection locked="0"/>
    </xf>
    <xf numFmtId="0" fontId="32" fillId="3" borderId="9" xfId="0" applyFont="1" applyFill="1" applyBorder="1" applyProtection="1">
      <protection locked="0"/>
    </xf>
    <xf numFmtId="0" fontId="5" fillId="3" borderId="1" xfId="0" applyFont="1" applyFill="1" applyBorder="1" applyAlignment="1" applyProtection="1">
      <alignment horizontal="left" vertical="top"/>
      <protection locked="0"/>
    </xf>
    <xf numFmtId="0" fontId="5" fillId="3" borderId="2" xfId="0" applyFont="1" applyFill="1" applyBorder="1" applyAlignment="1" applyProtection="1">
      <alignment horizontal="left" vertical="top"/>
      <protection locked="0"/>
    </xf>
    <xf numFmtId="0" fontId="0" fillId="3" borderId="2" xfId="0" applyFill="1" applyBorder="1" applyAlignment="1" applyProtection="1">
      <alignment horizontal="left" vertical="top"/>
      <protection locked="0"/>
    </xf>
    <xf numFmtId="0" fontId="0" fillId="3" borderId="3" xfId="0" applyFill="1" applyBorder="1" applyAlignment="1" applyProtection="1">
      <alignment horizontal="left" vertical="top"/>
      <protection locked="0"/>
    </xf>
    <xf numFmtId="0" fontId="22" fillId="2" borderId="1" xfId="0" applyFont="1" applyFill="1" applyBorder="1"/>
    <xf numFmtId="0" fontId="21" fillId="2" borderId="2" xfId="0" applyFont="1" applyFill="1" applyBorder="1"/>
    <xf numFmtId="0" fontId="21" fillId="2" borderId="3" xfId="0" applyFont="1" applyFill="1" applyBorder="1"/>
    <xf numFmtId="0" fontId="5" fillId="2" borderId="2" xfId="0" applyFont="1" applyFill="1" applyBorder="1"/>
    <xf numFmtId="0" fontId="5" fillId="2" borderId="3" xfId="0" applyFont="1" applyFill="1" applyBorder="1"/>
    <xf numFmtId="0" fontId="5" fillId="3" borderId="2" xfId="0" applyFont="1" applyFill="1" applyBorder="1" applyProtection="1">
      <protection locked="0"/>
    </xf>
    <xf numFmtId="0" fontId="5" fillId="3" borderId="3" xfId="0" applyFont="1" applyFill="1" applyBorder="1" applyProtection="1">
      <protection locked="0"/>
    </xf>
    <xf numFmtId="0" fontId="5" fillId="2" borderId="0" xfId="0" applyFont="1" applyFill="1"/>
    <xf numFmtId="0" fontId="5" fillId="2" borderId="1" xfId="0" applyFont="1" applyFill="1" applyBorder="1" applyAlignment="1">
      <alignment vertical="top" wrapText="1"/>
    </xf>
    <xf numFmtId="0" fontId="5" fillId="2" borderId="2" xfId="0" applyFont="1" applyFill="1" applyBorder="1" applyAlignment="1">
      <alignment vertical="top" wrapText="1"/>
    </xf>
    <xf numFmtId="0" fontId="5" fillId="2" borderId="3" xfId="0" applyFont="1" applyFill="1" applyBorder="1" applyAlignment="1">
      <alignment vertical="top" wrapText="1"/>
    </xf>
    <xf numFmtId="2" fontId="11" fillId="2" borderId="0" xfId="0" applyNumberFormat="1" applyFont="1" applyFill="1" applyAlignment="1">
      <alignment wrapText="1"/>
    </xf>
    <xf numFmtId="2" fontId="0" fillId="2" borderId="0" xfId="0" applyNumberFormat="1" applyFill="1" applyAlignment="1">
      <alignment wrapText="1"/>
    </xf>
    <xf numFmtId="0" fontId="0" fillId="2" borderId="0" xfId="0" applyFill="1" applyAlignment="1">
      <alignment wrapText="1"/>
    </xf>
    <xf numFmtId="3" fontId="5" fillId="3" borderId="7" xfId="0" applyNumberFormat="1" applyFont="1" applyFill="1" applyBorder="1" applyAlignment="1" applyProtection="1">
      <alignment horizontal="right"/>
      <protection locked="0"/>
    </xf>
    <xf numFmtId="0" fontId="0" fillId="3" borderId="9" xfId="0" applyFill="1" applyBorder="1" applyAlignment="1" applyProtection="1">
      <alignment horizontal="right"/>
      <protection locked="0"/>
    </xf>
    <xf numFmtId="3" fontId="5" fillId="3" borderId="10" xfId="0" applyNumberFormat="1" applyFont="1" applyFill="1" applyBorder="1" applyAlignment="1" applyProtection="1">
      <alignment horizontal="right"/>
      <protection locked="0"/>
    </xf>
    <xf numFmtId="0" fontId="0" fillId="3" borderId="11" xfId="0" applyFill="1" applyBorder="1" applyAlignment="1" applyProtection="1">
      <alignment horizontal="right"/>
      <protection locked="0"/>
    </xf>
    <xf numFmtId="3" fontId="5" fillId="2" borderId="8" xfId="0" applyNumberFormat="1" applyFont="1" applyFill="1" applyBorder="1" applyAlignment="1">
      <alignment horizontal="right"/>
    </xf>
    <xf numFmtId="0" fontId="5" fillId="2" borderId="8" xfId="0" applyFont="1" applyFill="1" applyBorder="1" applyAlignment="1">
      <alignment horizontal="right"/>
    </xf>
    <xf numFmtId="3" fontId="5" fillId="2" borderId="0" xfId="0" applyNumberFormat="1" applyFont="1" applyFill="1" applyAlignment="1">
      <alignment horizontal="right"/>
    </xf>
    <xf numFmtId="0" fontId="0" fillId="2" borderId="0" xfId="0" applyFill="1" applyAlignment="1">
      <alignment horizontal="right"/>
    </xf>
    <xf numFmtId="3" fontId="8" fillId="2" borderId="0" xfId="0" applyNumberFormat="1" applyFont="1" applyFill="1" applyAlignment="1">
      <alignment horizontal="right"/>
    </xf>
    <xf numFmtId="0" fontId="5" fillId="2" borderId="1" xfId="0" applyFont="1" applyFill="1" applyBorder="1" applyAlignment="1">
      <alignment horizontal="left" vertical="top" wrapText="1"/>
    </xf>
    <xf numFmtId="0" fontId="0" fillId="2" borderId="2" xfId="0" applyFill="1" applyBorder="1" applyAlignment="1">
      <alignment horizontal="left" vertical="top" wrapText="1"/>
    </xf>
    <xf numFmtId="0" fontId="0" fillId="2" borderId="3" xfId="0" applyFill="1" applyBorder="1" applyAlignment="1">
      <alignment horizontal="left" vertical="top" wrapText="1"/>
    </xf>
    <xf numFmtId="0" fontId="5" fillId="3" borderId="1" xfId="0" applyFont="1" applyFill="1" applyBorder="1" applyAlignment="1" applyProtection="1">
      <alignment vertical="top" wrapText="1"/>
      <protection locked="0"/>
    </xf>
    <xf numFmtId="0" fontId="5" fillId="3" borderId="2" xfId="0" applyFont="1" applyFill="1" applyBorder="1" applyAlignment="1" applyProtection="1">
      <alignment vertical="top" wrapText="1"/>
      <protection locked="0"/>
    </xf>
    <xf numFmtId="0" fontId="5" fillId="3" borderId="3" xfId="0" applyFont="1" applyFill="1" applyBorder="1" applyAlignment="1" applyProtection="1">
      <alignment vertical="top" wrapText="1"/>
      <protection locked="0"/>
    </xf>
    <xf numFmtId="0" fontId="32" fillId="2" borderId="1" xfId="0" applyFont="1" applyFill="1" applyBorder="1" applyAlignment="1">
      <alignment vertical="top" wrapText="1"/>
    </xf>
    <xf numFmtId="0" fontId="32" fillId="2" borderId="2" xfId="0" applyFont="1" applyFill="1" applyBorder="1" applyAlignment="1">
      <alignment vertical="top" wrapText="1"/>
    </xf>
    <xf numFmtId="0" fontId="32" fillId="2" borderId="3" xfId="0" applyFont="1" applyFill="1" applyBorder="1" applyAlignment="1">
      <alignment vertical="top" wrapText="1"/>
    </xf>
    <xf numFmtId="0" fontId="5" fillId="2" borderId="7" xfId="0" applyFont="1" applyFill="1" applyBorder="1"/>
    <xf numFmtId="0" fontId="5" fillId="2" borderId="8" xfId="0" applyFont="1" applyFill="1" applyBorder="1"/>
    <xf numFmtId="0" fontId="5" fillId="2" borderId="9" xfId="0" applyFont="1" applyFill="1" applyBorder="1"/>
    <xf numFmtId="0" fontId="5" fillId="2" borderId="10" xfId="0" applyFont="1" applyFill="1" applyBorder="1"/>
    <xf numFmtId="0" fontId="0" fillId="2" borderId="11" xfId="0" applyFill="1" applyBorder="1"/>
    <xf numFmtId="0" fontId="5" fillId="2" borderId="11" xfId="0" applyFont="1" applyFill="1" applyBorder="1"/>
    <xf numFmtId="0" fontId="5" fillId="2" borderId="10" xfId="0" applyFont="1" applyFill="1" applyBorder="1" applyAlignment="1">
      <alignment vertical="center" wrapText="1"/>
    </xf>
    <xf numFmtId="0" fontId="5" fillId="2" borderId="0" xfId="0" applyFont="1" applyFill="1" applyAlignment="1">
      <alignment vertical="center" wrapText="1"/>
    </xf>
    <xf numFmtId="0" fontId="5" fillId="2" borderId="11" xfId="0" applyFont="1" applyFill="1" applyBorder="1" applyAlignment="1">
      <alignment vertical="center" wrapText="1"/>
    </xf>
    <xf numFmtId="3" fontId="5" fillId="2" borderId="10" xfId="0" applyNumberFormat="1" applyFont="1" applyFill="1" applyBorder="1" applyAlignment="1">
      <alignment horizontal="left"/>
    </xf>
    <xf numFmtId="0" fontId="0" fillId="2" borderId="0" xfId="0" applyFill="1" applyAlignment="1">
      <alignment horizontal="left"/>
    </xf>
    <xf numFmtId="165" fontId="0" fillId="2" borderId="13" xfId="0" applyNumberFormat="1" applyFill="1" applyBorder="1" applyAlignment="1">
      <alignment horizontal="left"/>
    </xf>
    <xf numFmtId="49" fontId="5" fillId="3" borderId="13" xfId="0" applyNumberFormat="1" applyFont="1" applyFill="1" applyBorder="1" applyProtection="1">
      <protection locked="0"/>
    </xf>
    <xf numFmtId="49" fontId="5" fillId="3" borderId="14" xfId="0" applyNumberFormat="1" applyFont="1" applyFill="1" applyBorder="1" applyProtection="1">
      <protection locked="0"/>
    </xf>
    <xf numFmtId="0" fontId="5" fillId="2" borderId="13" xfId="0" applyFont="1" applyFill="1" applyBorder="1"/>
    <xf numFmtId="0" fontId="0" fillId="2" borderId="13" xfId="0" applyFill="1" applyBorder="1"/>
    <xf numFmtId="167" fontId="32" fillId="3" borderId="12" xfId="0" applyNumberFormat="1" applyFont="1" applyFill="1" applyBorder="1" applyProtection="1">
      <protection locked="0"/>
    </xf>
    <xf numFmtId="167" fontId="32" fillId="3" borderId="13" xfId="0" applyNumberFormat="1" applyFont="1" applyFill="1" applyBorder="1" applyProtection="1">
      <protection locked="0"/>
    </xf>
    <xf numFmtId="167" fontId="32" fillId="3" borderId="14" xfId="0" applyNumberFormat="1" applyFont="1" applyFill="1" applyBorder="1" applyProtection="1">
      <protection locked="0"/>
    </xf>
    <xf numFmtId="9" fontId="5" fillId="2" borderId="1" xfId="0" applyNumberFormat="1" applyFont="1" applyFill="1" applyBorder="1"/>
    <xf numFmtId="0" fontId="0" fillId="2" borderId="3" xfId="0" applyFill="1" applyBorder="1"/>
    <xf numFmtId="0" fontId="0" fillId="2" borderId="2" xfId="0" applyFill="1" applyBorder="1"/>
    <xf numFmtId="0" fontId="32" fillId="2" borderId="13" xfId="0" applyFont="1" applyFill="1" applyBorder="1"/>
    <xf numFmtId="3" fontId="5" fillId="2" borderId="1" xfId="0" applyNumberFormat="1" applyFont="1" applyFill="1" applyBorder="1"/>
    <xf numFmtId="1" fontId="5" fillId="2" borderId="0" xfId="0" applyNumberFormat="1" applyFont="1" applyFill="1" applyAlignment="1">
      <alignment horizontal="right"/>
    </xf>
    <xf numFmtId="167" fontId="32" fillId="2" borderId="10" xfId="0" applyNumberFormat="1" applyFont="1" applyFill="1" applyBorder="1" applyProtection="1">
      <protection locked="0"/>
    </xf>
    <xf numFmtId="167" fontId="32" fillId="2" borderId="0" xfId="0" applyNumberFormat="1" applyFont="1" applyFill="1" applyProtection="1">
      <protection locked="0"/>
    </xf>
    <xf numFmtId="167" fontId="32" fillId="2" borderId="11" xfId="0" applyNumberFormat="1" applyFont="1" applyFill="1" applyBorder="1" applyProtection="1">
      <protection locked="0"/>
    </xf>
    <xf numFmtId="167" fontId="0" fillId="2" borderId="0" xfId="0" applyNumberFormat="1" applyFill="1" applyProtection="1">
      <protection locked="0"/>
    </xf>
    <xf numFmtId="167" fontId="0" fillId="2" borderId="11" xfId="0" applyNumberFormat="1" applyFill="1" applyBorder="1" applyProtection="1">
      <protection locked="0"/>
    </xf>
    <xf numFmtId="0" fontId="5" fillId="2" borderId="0" xfId="0" applyFont="1" applyFill="1" applyAlignment="1">
      <alignment wrapText="1"/>
    </xf>
    <xf numFmtId="0" fontId="0" fillId="2" borderId="13" xfId="0" applyFill="1" applyBorder="1" applyAlignment="1">
      <alignment wrapText="1"/>
    </xf>
    <xf numFmtId="0" fontId="32" fillId="2" borderId="0" xfId="0" applyFont="1" applyFill="1"/>
    <xf numFmtId="0" fontId="5" fillId="2" borderId="0" xfId="0" applyFont="1" applyFill="1" applyAlignment="1">
      <alignment horizontal="left"/>
    </xf>
    <xf numFmtId="0" fontId="32" fillId="2" borderId="0" xfId="0" applyFont="1" applyFill="1" applyAlignment="1">
      <alignment horizontal="left"/>
    </xf>
    <xf numFmtId="167" fontId="32" fillId="2" borderId="7" xfId="0" applyNumberFormat="1" applyFont="1" applyFill="1" applyBorder="1" applyProtection="1">
      <protection locked="0"/>
    </xf>
    <xf numFmtId="167" fontId="32" fillId="2" borderId="8" xfId="0" applyNumberFormat="1" applyFont="1" applyFill="1" applyBorder="1" applyProtection="1">
      <protection locked="0"/>
    </xf>
    <xf numFmtId="167" fontId="32" fillId="2" borderId="9" xfId="0" applyNumberFormat="1" applyFont="1" applyFill="1" applyBorder="1" applyProtection="1">
      <protection locked="0"/>
    </xf>
    <xf numFmtId="168" fontId="32" fillId="2" borderId="4" xfId="0" applyNumberFormat="1" applyFont="1" applyFill="1" applyBorder="1" applyAlignment="1" applyProtection="1">
      <alignment horizontal="right" vertical="center"/>
      <protection locked="0"/>
    </xf>
    <xf numFmtId="0" fontId="0" fillId="0" borderId="5" xfId="0" applyBorder="1" applyAlignment="1" applyProtection="1">
      <alignment horizontal="right" vertical="center"/>
      <protection locked="0"/>
    </xf>
    <xf numFmtId="168" fontId="5" fillId="2" borderId="0" xfId="0" applyNumberFormat="1" applyFont="1" applyFill="1" applyAlignment="1">
      <alignment wrapText="1"/>
    </xf>
    <xf numFmtId="0" fontId="32" fillId="2" borderId="13" xfId="0" applyFont="1" applyFill="1" applyBorder="1" applyAlignment="1">
      <alignment wrapText="1"/>
    </xf>
    <xf numFmtId="0" fontId="5" fillId="2" borderId="13" xfId="0" applyFont="1" applyFill="1" applyBorder="1" applyAlignment="1">
      <alignment wrapText="1"/>
    </xf>
    <xf numFmtId="167" fontId="32" fillId="3" borderId="1" xfId="0" applyNumberFormat="1" applyFont="1" applyFill="1" applyBorder="1" applyProtection="1">
      <protection locked="0"/>
    </xf>
    <xf numFmtId="167" fontId="32" fillId="3" borderId="2" xfId="0" applyNumberFormat="1" applyFont="1" applyFill="1" applyBorder="1" applyProtection="1">
      <protection locked="0"/>
    </xf>
    <xf numFmtId="167" fontId="32" fillId="3" borderId="3" xfId="0" applyNumberFormat="1" applyFont="1" applyFill="1" applyBorder="1" applyProtection="1">
      <protection locked="0"/>
    </xf>
    <xf numFmtId="0" fontId="15" fillId="2" borderId="0" xfId="0" applyFont="1" applyFill="1" applyAlignment="1">
      <alignment wrapText="1"/>
    </xf>
    <xf numFmtId="0" fontId="32" fillId="2" borderId="0" xfId="0" applyFont="1" applyFill="1" applyAlignment="1">
      <alignment wrapText="1"/>
    </xf>
    <xf numFmtId="167" fontId="32" fillId="3" borderId="1" xfId="0" applyNumberFormat="1" applyFont="1" applyFill="1" applyBorder="1" applyAlignment="1" applyProtection="1">
      <alignment wrapText="1"/>
      <protection locked="0"/>
    </xf>
    <xf numFmtId="167" fontId="32" fillId="3" borderId="2" xfId="0" applyNumberFormat="1" applyFont="1" applyFill="1" applyBorder="1" applyAlignment="1" applyProtection="1">
      <alignment wrapText="1"/>
      <protection locked="0"/>
    </xf>
    <xf numFmtId="167" fontId="32" fillId="3" borderId="3" xfId="0" applyNumberFormat="1" applyFont="1" applyFill="1" applyBorder="1" applyAlignment="1" applyProtection="1">
      <alignment wrapText="1"/>
      <protection locked="0"/>
    </xf>
    <xf numFmtId="3" fontId="15" fillId="2" borderId="0" xfId="0" applyNumberFormat="1" applyFont="1" applyFill="1"/>
    <xf numFmtId="0" fontId="15" fillId="2" borderId="0" xfId="0" applyFont="1" applyFill="1"/>
    <xf numFmtId="167" fontId="5" fillId="2" borderId="0" xfId="0" applyNumberFormat="1" applyFont="1" applyFill="1" applyProtection="1">
      <protection locked="0"/>
    </xf>
    <xf numFmtId="0" fontId="5" fillId="2" borderId="0" xfId="0" applyFont="1" applyFill="1" applyAlignment="1">
      <alignment horizontal="right"/>
    </xf>
    <xf numFmtId="0" fontId="32" fillId="2" borderId="0" xfId="0" applyFont="1" applyFill="1" applyAlignment="1">
      <alignment horizontal="right"/>
    </xf>
    <xf numFmtId="167" fontId="5" fillId="3" borderId="1" xfId="0" applyNumberFormat="1" applyFont="1" applyFill="1" applyBorder="1" applyProtection="1">
      <protection locked="0"/>
    </xf>
    <xf numFmtId="167" fontId="32" fillId="2" borderId="0" xfId="0" applyNumberFormat="1" applyFont="1" applyFill="1" applyAlignment="1" applyProtection="1">
      <alignment wrapText="1"/>
      <protection locked="0"/>
    </xf>
    <xf numFmtId="164" fontId="32" fillId="3" borderId="10" xfId="0" applyNumberFormat="1" applyFont="1" applyFill="1" applyBorder="1" applyProtection="1">
      <protection locked="0"/>
    </xf>
    <xf numFmtId="164" fontId="32" fillId="3" borderId="0" xfId="0" applyNumberFormat="1" applyFont="1" applyFill="1" applyProtection="1">
      <protection locked="0"/>
    </xf>
    <xf numFmtId="164" fontId="32" fillId="3" borderId="11" xfId="0" applyNumberFormat="1" applyFont="1" applyFill="1" applyBorder="1" applyProtection="1">
      <protection locked="0"/>
    </xf>
    <xf numFmtId="164" fontId="5" fillId="3" borderId="7" xfId="0" applyNumberFormat="1" applyFont="1" applyFill="1" applyBorder="1" applyProtection="1">
      <protection locked="0"/>
    </xf>
    <xf numFmtId="164" fontId="5" fillId="3" borderId="8" xfId="0" applyNumberFormat="1" applyFont="1" applyFill="1" applyBorder="1" applyProtection="1">
      <protection locked="0"/>
    </xf>
    <xf numFmtId="164" fontId="5" fillId="3" borderId="9" xfId="0" applyNumberFormat="1" applyFont="1" applyFill="1" applyBorder="1" applyProtection="1">
      <protection locked="0"/>
    </xf>
    <xf numFmtId="164" fontId="5" fillId="3" borderId="12" xfId="0" applyNumberFormat="1" applyFont="1" applyFill="1" applyBorder="1" applyProtection="1">
      <protection locked="0"/>
    </xf>
    <xf numFmtId="164" fontId="5" fillId="3" borderId="10" xfId="0" applyNumberFormat="1" applyFont="1" applyFill="1" applyBorder="1" applyProtection="1">
      <protection locked="0"/>
    </xf>
    <xf numFmtId="164" fontId="5" fillId="3" borderId="0" xfId="0" applyNumberFormat="1" applyFont="1" applyFill="1" applyProtection="1">
      <protection locked="0"/>
    </xf>
    <xf numFmtId="164" fontId="5" fillId="3" borderId="11" xfId="0" applyNumberFormat="1" applyFont="1" applyFill="1" applyBorder="1" applyProtection="1">
      <protection locked="0"/>
    </xf>
    <xf numFmtId="0" fontId="32" fillId="3" borderId="0" xfId="0" applyFont="1" applyFill="1"/>
    <xf numFmtId="0" fontId="32" fillId="3" borderId="11" xfId="0" applyFont="1" applyFill="1" applyBorder="1"/>
    <xf numFmtId="164" fontId="32" fillId="3" borderId="12" xfId="0" applyNumberFormat="1" applyFont="1" applyFill="1" applyBorder="1" applyProtection="1">
      <protection locked="0"/>
    </xf>
    <xf numFmtId="164" fontId="32" fillId="3" borderId="13" xfId="0" applyNumberFormat="1" applyFont="1" applyFill="1" applyBorder="1" applyProtection="1">
      <protection locked="0"/>
    </xf>
    <xf numFmtId="164" fontId="32" fillId="3" borderId="14" xfId="0" applyNumberFormat="1" applyFont="1" applyFill="1" applyBorder="1" applyProtection="1">
      <protection locked="0"/>
    </xf>
    <xf numFmtId="164" fontId="5" fillId="2" borderId="0" xfId="0" applyNumberFormat="1" applyFont="1" applyFill="1" applyAlignment="1">
      <alignment wrapText="1"/>
    </xf>
    <xf numFmtId="164" fontId="5" fillId="2" borderId="13" xfId="0" applyNumberFormat="1" applyFont="1" applyFill="1" applyBorder="1" applyAlignment="1">
      <alignment wrapText="1"/>
    </xf>
    <xf numFmtId="0" fontId="5" fillId="2" borderId="13" xfId="0" applyFont="1" applyFill="1" applyBorder="1" applyAlignment="1">
      <alignment horizontal="left"/>
    </xf>
    <xf numFmtId="3" fontId="5" fillId="3" borderId="7" xfId="0" applyNumberFormat="1" applyFont="1" applyFill="1" applyBorder="1" applyProtection="1">
      <protection locked="0"/>
    </xf>
    <xf numFmtId="3" fontId="5" fillId="3" borderId="8" xfId="0" applyNumberFormat="1" applyFont="1" applyFill="1" applyBorder="1" applyProtection="1">
      <protection locked="0"/>
    </xf>
    <xf numFmtId="3" fontId="5" fillId="3" borderId="9" xfId="0" applyNumberFormat="1" applyFont="1" applyFill="1" applyBorder="1" applyProtection="1">
      <protection locked="0"/>
    </xf>
    <xf numFmtId="3" fontId="5" fillId="3" borderId="10" xfId="0" applyNumberFormat="1" applyFont="1" applyFill="1" applyBorder="1" applyProtection="1">
      <protection locked="0"/>
    </xf>
    <xf numFmtId="3" fontId="5" fillId="3" borderId="0" xfId="0" applyNumberFormat="1" applyFont="1" applyFill="1" applyProtection="1">
      <protection locked="0"/>
    </xf>
    <xf numFmtId="3" fontId="5" fillId="3" borderId="11" xfId="0" applyNumberFormat="1" applyFont="1" applyFill="1" applyBorder="1" applyProtection="1">
      <protection locked="0"/>
    </xf>
    <xf numFmtId="0" fontId="0" fillId="3" borderId="10" xfId="0" applyFill="1" applyBorder="1" applyProtection="1">
      <protection locked="0"/>
    </xf>
    <xf numFmtId="0" fontId="0" fillId="3" borderId="0" xfId="0" applyFill="1" applyProtection="1">
      <protection locked="0"/>
    </xf>
    <xf numFmtId="0" fontId="0" fillId="3" borderId="11" xfId="0" applyFill="1" applyBorder="1" applyProtection="1">
      <protection locked="0"/>
    </xf>
    <xf numFmtId="0" fontId="5" fillId="3" borderId="14" xfId="0" applyFont="1" applyFill="1" applyBorder="1" applyProtection="1">
      <protection locked="0"/>
    </xf>
    <xf numFmtId="3" fontId="5" fillId="3" borderId="12" xfId="0" applyNumberFormat="1" applyFont="1" applyFill="1" applyBorder="1" applyProtection="1">
      <protection locked="0"/>
    </xf>
    <xf numFmtId="3" fontId="5" fillId="3" borderId="13" xfId="0" applyNumberFormat="1" applyFont="1" applyFill="1" applyBorder="1" applyProtection="1">
      <protection locked="0"/>
    </xf>
    <xf numFmtId="3" fontId="5" fillId="3" borderId="14" xfId="0" applyNumberFormat="1" applyFont="1" applyFill="1" applyBorder="1" applyProtection="1">
      <protection locked="0"/>
    </xf>
    <xf numFmtId="0" fontId="5" fillId="0" borderId="1" xfId="0" applyFont="1" applyBorder="1" applyProtection="1">
      <protection locked="0"/>
    </xf>
    <xf numFmtId="0" fontId="5" fillId="0" borderId="3" xfId="0" applyFont="1" applyBorder="1" applyProtection="1">
      <protection locked="0"/>
    </xf>
    <xf numFmtId="0" fontId="5" fillId="3" borderId="7" xfId="0" applyFont="1" applyFill="1" applyBorder="1" applyAlignment="1" applyProtection="1">
      <alignment vertical="top"/>
      <protection locked="0"/>
    </xf>
    <xf numFmtId="0" fontId="5" fillId="3" borderId="8" xfId="0" applyFont="1" applyFill="1" applyBorder="1" applyAlignment="1" applyProtection="1">
      <alignment vertical="top"/>
      <protection locked="0"/>
    </xf>
    <xf numFmtId="0" fontId="5" fillId="3" borderId="9" xfId="0" applyFont="1" applyFill="1" applyBorder="1" applyAlignment="1" applyProtection="1">
      <alignment vertical="top"/>
      <protection locked="0"/>
    </xf>
    <xf numFmtId="0" fontId="5" fillId="3" borderId="10" xfId="0" applyFont="1" applyFill="1" applyBorder="1" applyAlignment="1" applyProtection="1">
      <alignment vertical="top"/>
      <protection locked="0"/>
    </xf>
    <xf numFmtId="0" fontId="5" fillId="3" borderId="0" xfId="0" applyFont="1" applyFill="1" applyAlignment="1" applyProtection="1">
      <alignment vertical="top"/>
      <protection locked="0"/>
    </xf>
    <xf numFmtId="0" fontId="5" fillId="3" borderId="11" xfId="0" applyFont="1" applyFill="1" applyBorder="1" applyAlignment="1" applyProtection="1">
      <alignment vertical="top"/>
      <protection locked="0"/>
    </xf>
    <xf numFmtId="0" fontId="5" fillId="3" borderId="12" xfId="0" applyFont="1" applyFill="1" applyBorder="1" applyAlignment="1" applyProtection="1">
      <alignment vertical="top"/>
      <protection locked="0"/>
    </xf>
    <xf numFmtId="0" fontId="5" fillId="3" borderId="13" xfId="0" applyFont="1" applyFill="1" applyBorder="1" applyAlignment="1" applyProtection="1">
      <alignment vertical="top"/>
      <protection locked="0"/>
    </xf>
    <xf numFmtId="0" fontId="5" fillId="3" borderId="14" xfId="0" applyFont="1" applyFill="1" applyBorder="1" applyAlignment="1" applyProtection="1">
      <alignment vertical="top"/>
      <protection locked="0"/>
    </xf>
    <xf numFmtId="0" fontId="4" fillId="5" borderId="0" xfId="0" applyFont="1" applyFill="1" applyAlignment="1">
      <alignment vertical="top" wrapText="1"/>
    </xf>
    <xf numFmtId="170" fontId="5" fillId="5" borderId="4" xfId="0" applyNumberFormat="1" applyFont="1" applyFill="1" applyBorder="1" applyAlignment="1">
      <alignment vertical="center" wrapText="1"/>
    </xf>
    <xf numFmtId="0" fontId="0" fillId="5" borderId="5" xfId="0" applyFill="1" applyBorder="1" applyAlignment="1">
      <alignment vertical="center" wrapText="1"/>
    </xf>
    <xf numFmtId="0" fontId="0" fillId="5" borderId="15" xfId="0" applyFill="1" applyBorder="1" applyAlignment="1">
      <alignment vertical="center" wrapText="1"/>
    </xf>
    <xf numFmtId="170" fontId="5" fillId="5" borderId="4" xfId="0" applyNumberFormat="1" applyFont="1" applyFill="1" applyBorder="1" applyAlignment="1">
      <alignment horizontal="left" vertical="center" wrapText="1"/>
    </xf>
    <xf numFmtId="0" fontId="0" fillId="5" borderId="5" xfId="0" applyFill="1" applyBorder="1" applyAlignment="1">
      <alignment horizontal="left" vertical="center" wrapText="1"/>
    </xf>
    <xf numFmtId="0" fontId="0" fillId="5" borderId="15" xfId="0" applyFill="1" applyBorder="1" applyAlignment="1">
      <alignment horizontal="left" vertical="center" wrapText="1"/>
    </xf>
    <xf numFmtId="2" fontId="4" fillId="5" borderId="0" xfId="0" applyNumberFormat="1" applyFont="1" applyFill="1" applyAlignment="1">
      <alignment horizontal="left" vertical="center" wrapText="1"/>
    </xf>
    <xf numFmtId="0" fontId="0" fillId="5" borderId="0" xfId="0" applyFill="1" applyAlignment="1">
      <alignment horizontal="left" vertical="center" wrapText="1"/>
    </xf>
    <xf numFmtId="0" fontId="4" fillId="5" borderId="0" xfId="0" applyFont="1" applyFill="1" applyAlignment="1">
      <alignment horizontal="center" vertical="top" wrapText="1"/>
    </xf>
    <xf numFmtId="0" fontId="5" fillId="5" borderId="0" xfId="0" applyFont="1" applyFill="1" applyAlignment="1">
      <alignment horizontal="center" vertical="top" wrapText="1"/>
    </xf>
    <xf numFmtId="0" fontId="4" fillId="5" borderId="0" xfId="0" applyFont="1" applyFill="1" applyAlignment="1">
      <alignment horizontal="center" vertical="top"/>
    </xf>
    <xf numFmtId="0" fontId="4" fillId="5" borderId="0" xfId="0" applyFont="1" applyFill="1" applyAlignment="1">
      <alignment horizontal="center" vertical="center"/>
    </xf>
    <xf numFmtId="0" fontId="5" fillId="5" borderId="0" xfId="0" applyFont="1" applyFill="1" applyAlignment="1">
      <alignment vertical="top" wrapText="1"/>
    </xf>
    <xf numFmtId="0" fontId="52" fillId="6" borderId="20" xfId="0" applyFont="1" applyFill="1" applyBorder="1" applyAlignment="1">
      <alignment horizontal="left"/>
    </xf>
    <xf numFmtId="0" fontId="52" fillId="6" borderId="21" xfId="0" applyFont="1" applyFill="1" applyBorder="1" applyAlignment="1">
      <alignment horizontal="left"/>
    </xf>
    <xf numFmtId="0" fontId="52" fillId="6" borderId="25" xfId="0" applyFont="1" applyFill="1" applyBorder="1" applyAlignment="1">
      <alignment horizontal="left"/>
    </xf>
    <xf numFmtId="0" fontId="5" fillId="0" borderId="0" xfId="0" applyFont="1" applyAlignment="1">
      <alignment vertical="top" wrapText="1"/>
    </xf>
    <xf numFmtId="0" fontId="0" fillId="0" borderId="0" xfId="0" applyAlignment="1">
      <alignment wrapText="1"/>
    </xf>
    <xf numFmtId="0" fontId="5" fillId="0" borderId="0" xfId="0" applyFont="1" applyAlignment="1" applyProtection="1">
      <alignment vertical="top" wrapText="1"/>
      <protection locked="0"/>
    </xf>
    <xf numFmtId="0" fontId="0" fillId="0" borderId="0" xfId="0" applyAlignment="1">
      <alignment vertical="top" wrapText="1"/>
    </xf>
    <xf numFmtId="0" fontId="5" fillId="8" borderId="0" xfId="0" applyFont="1" applyFill="1" applyAlignment="1">
      <alignment vertical="top" wrapText="1"/>
    </xf>
    <xf numFmtId="0" fontId="0" fillId="8" borderId="0" xfId="0" applyFill="1" applyAlignment="1">
      <alignment vertical="top" wrapText="1"/>
    </xf>
    <xf numFmtId="0" fontId="40" fillId="0" borderId="0" xfId="0" applyFont="1" applyAlignment="1">
      <alignment vertical="top" wrapText="1"/>
    </xf>
    <xf numFmtId="0" fontId="40" fillId="8" borderId="0" xfId="0" applyFont="1" applyFill="1" applyAlignment="1">
      <alignment vertical="top" wrapText="1"/>
    </xf>
    <xf numFmtId="0" fontId="39" fillId="0" borderId="0" xfId="0" applyFont="1" applyAlignment="1">
      <alignment vertical="top" wrapText="1"/>
    </xf>
    <xf numFmtId="0" fontId="38" fillId="2" borderId="0" xfId="0" applyFont="1" applyFill="1" applyAlignment="1">
      <alignment vertical="top" wrapText="1"/>
    </xf>
    <xf numFmtId="0" fontId="38" fillId="2" borderId="0" xfId="0" applyFont="1" applyFill="1" applyAlignment="1">
      <alignment wrapText="1"/>
    </xf>
  </cellXfs>
  <cellStyles count="5">
    <cellStyle name="Berekening" xfId="4" builtinId="22"/>
    <cellStyle name="Hyperlink" xfId="2" builtinId="8"/>
    <cellStyle name="Invoer" xfId="3" builtinId="20"/>
    <cellStyle name="Procent" xfId="1" builtinId="5"/>
    <cellStyle name="Standaard" xfId="0" builtinId="0"/>
  </cellStyles>
  <dxfs count="262">
    <dxf>
      <border>
        <right style="thin">
          <color auto="1"/>
        </right>
        <vertical/>
        <horizontal/>
      </border>
    </dxf>
    <dxf>
      <border>
        <bottom style="thin">
          <color auto="1"/>
        </bottom>
        <vertical/>
        <horizontal/>
      </border>
    </dxf>
    <dxf>
      <fill>
        <patternFill>
          <bgColor theme="0"/>
        </patternFill>
      </fill>
    </dxf>
    <dxf>
      <fill>
        <patternFill>
          <bgColor theme="0"/>
        </patternFill>
      </fill>
    </dxf>
    <dxf>
      <border>
        <right style="thin">
          <color auto="1"/>
        </right>
        <vertical/>
        <horizontal/>
      </border>
    </dxf>
    <dxf>
      <border>
        <right style="thin">
          <color auto="1"/>
        </right>
        <vertical/>
        <horizontal/>
      </border>
    </dxf>
    <dxf>
      <border>
        <top style="thin">
          <color auto="1"/>
        </top>
        <vertical/>
        <horizontal/>
      </border>
    </dxf>
    <dxf>
      <fill>
        <patternFill>
          <bgColor theme="0"/>
        </patternFill>
      </fill>
    </dxf>
    <dxf>
      <border>
        <bottom style="thin">
          <color auto="1"/>
        </bottom>
        <vertical/>
        <horizontal/>
      </border>
    </dxf>
    <dxf>
      <border>
        <right style="thin">
          <color auto="1"/>
        </right>
        <vertical/>
        <horizontal/>
      </border>
    </dxf>
    <dxf>
      <fill>
        <patternFill>
          <bgColor theme="0"/>
        </patternFill>
      </fill>
    </dxf>
    <dxf>
      <border>
        <right style="thin">
          <color auto="1"/>
        </right>
        <vertical/>
        <horizontal/>
      </border>
    </dxf>
    <dxf>
      <fill>
        <patternFill>
          <bgColor theme="0"/>
        </patternFill>
      </fill>
    </dxf>
    <dxf>
      <border>
        <top style="thin">
          <color auto="1"/>
        </top>
        <vertical/>
        <horizontal/>
      </border>
    </dxf>
    <dxf>
      <border>
        <right style="thin">
          <color auto="1"/>
        </right>
        <bottom/>
        <vertical/>
        <horizontal/>
      </border>
    </dxf>
    <dxf>
      <border>
        <bottom style="thin">
          <color auto="1"/>
        </bottom>
        <vertical/>
        <horizontal/>
      </border>
    </dxf>
    <dxf>
      <fill>
        <patternFill>
          <bgColor theme="0"/>
        </patternFill>
      </fill>
    </dxf>
    <dxf>
      <border>
        <right style="thin">
          <color auto="1"/>
        </right>
        <vertical/>
        <horizontal/>
      </border>
    </dxf>
    <dxf>
      <fill>
        <patternFill>
          <bgColor theme="0"/>
        </patternFill>
      </fill>
    </dxf>
    <dxf>
      <border>
        <right style="thin">
          <color auto="1"/>
        </right>
        <vertical/>
        <horizontal/>
      </border>
    </dxf>
    <dxf>
      <border>
        <top style="thin">
          <color auto="1"/>
        </top>
        <vertical/>
        <horizontal/>
      </border>
    </dxf>
    <dxf>
      <fill>
        <patternFill>
          <bgColor theme="0"/>
        </patternFill>
      </fill>
    </dxf>
    <dxf>
      <border>
        <right style="thin">
          <color auto="1"/>
        </right>
        <vertical/>
        <horizontal/>
      </border>
    </dxf>
    <dxf>
      <fill>
        <patternFill>
          <bgColor theme="0"/>
        </patternFill>
      </fill>
    </dxf>
    <dxf>
      <border>
        <bottom style="thin">
          <color auto="1"/>
        </bottom>
        <vertical/>
        <horizontal/>
      </border>
    </dxf>
    <dxf>
      <border>
        <top style="thin">
          <color auto="1"/>
        </top>
        <vertical/>
        <horizontal/>
      </border>
    </dxf>
    <dxf>
      <fill>
        <patternFill>
          <bgColor theme="0"/>
        </patternFill>
      </fill>
    </dxf>
    <dxf>
      <border>
        <right style="thin">
          <color auto="1"/>
        </right>
        <vertical/>
        <horizontal/>
      </border>
    </dxf>
    <dxf>
      <border>
        <right style="thin">
          <color auto="1"/>
        </right>
        <vertical/>
        <horizontal/>
      </border>
    </dxf>
    <dxf>
      <border>
        <bottom style="thin">
          <color auto="1"/>
        </bottom>
        <vertical/>
        <horizontal/>
      </border>
    </dxf>
    <dxf>
      <fill>
        <patternFill>
          <bgColor theme="0"/>
        </patternFill>
      </fill>
    </dxf>
    <dxf>
      <fill>
        <patternFill>
          <bgColor theme="0"/>
        </patternFill>
      </fill>
    </dxf>
    <dxf>
      <border>
        <right style="thin">
          <color auto="1"/>
        </right>
        <vertical/>
        <horizontal/>
      </border>
    </dxf>
    <dxf>
      <border>
        <top style="thin">
          <color auto="1"/>
        </top>
        <vertical/>
        <horizontal/>
      </border>
    </dxf>
    <dxf>
      <fill>
        <patternFill>
          <bgColor theme="0"/>
        </patternFill>
      </fill>
    </dxf>
    <dxf>
      <border>
        <right style="thin">
          <color auto="1"/>
        </right>
        <vertical/>
        <horizontal/>
      </border>
    </dxf>
    <dxf>
      <border>
        <right style="thin">
          <color auto="1"/>
        </right>
        <vertical/>
        <horizontal/>
      </border>
    </dxf>
    <dxf>
      <fill>
        <patternFill>
          <bgColor theme="0"/>
        </patternFill>
      </fill>
    </dxf>
    <dxf>
      <border>
        <bottom style="thin">
          <color auto="1"/>
        </bottom>
        <vertical/>
        <horizontal/>
      </border>
    </dxf>
    <dxf>
      <border>
        <right style="thin">
          <color auto="1"/>
        </right>
        <vertical/>
        <horizontal/>
      </border>
    </dxf>
    <dxf>
      <fill>
        <patternFill>
          <bgColor theme="0"/>
        </patternFill>
      </fill>
    </dxf>
    <dxf>
      <border>
        <top style="thin">
          <color auto="1"/>
        </top>
        <vertical/>
        <horizontal/>
      </border>
    </dxf>
    <dxf>
      <fill>
        <patternFill>
          <bgColor theme="0"/>
        </patternFill>
      </fill>
    </dxf>
    <dxf>
      <border>
        <bottom style="thin">
          <color auto="1"/>
        </bottom>
        <vertical/>
        <horizontal/>
      </border>
    </dxf>
    <dxf>
      <border>
        <right style="thin">
          <color auto="1"/>
        </right>
        <vertical/>
        <horizontal/>
      </border>
    </dxf>
    <dxf>
      <border>
        <right style="thin">
          <color auto="1"/>
        </right>
        <vertical/>
        <horizontal/>
      </border>
    </dxf>
    <dxf>
      <fill>
        <patternFill>
          <bgColor theme="0"/>
        </patternFill>
      </fill>
    </dxf>
    <dxf>
      <fill>
        <patternFill>
          <bgColor theme="0"/>
        </patternFill>
      </fill>
    </dxf>
    <dxf>
      <border>
        <top style="thin">
          <color auto="1"/>
        </top>
        <vertical/>
        <horizontal/>
      </border>
    </dxf>
    <dxf>
      <border>
        <right style="thin">
          <color auto="1"/>
        </right>
        <vertical/>
        <horizontal/>
      </border>
    </dxf>
    <dxf>
      <border>
        <right style="thin">
          <color auto="1"/>
        </right>
        <vertical/>
        <horizontal/>
      </border>
    </dxf>
    <dxf>
      <fill>
        <patternFill>
          <bgColor theme="0"/>
        </patternFill>
      </fill>
    </dxf>
    <dxf>
      <border>
        <bottom style="thin">
          <color auto="1"/>
        </bottom>
        <vertical/>
        <horizontal/>
      </border>
    </dxf>
    <dxf>
      <border>
        <right style="thin">
          <color auto="1"/>
        </right>
        <vertical/>
        <horizontal/>
      </border>
    </dxf>
    <dxf>
      <fill>
        <patternFill>
          <bgColor theme="0"/>
        </patternFill>
      </fill>
    </dxf>
    <dxf>
      <border>
        <top style="thin">
          <color auto="1"/>
        </top>
        <vertical/>
        <horizontal/>
      </border>
    </dxf>
    <dxf>
      <border>
        <bottom style="thin">
          <color auto="1"/>
        </bottom>
        <vertical/>
        <horizontal/>
      </border>
    </dxf>
    <dxf>
      <fill>
        <patternFill>
          <bgColor theme="0"/>
        </patternFill>
      </fill>
    </dxf>
    <dxf>
      <border>
        <right style="thin">
          <color auto="1"/>
        </right>
        <vertical/>
        <horizontal/>
      </border>
    </dxf>
    <dxf>
      <fill>
        <patternFill>
          <bgColor theme="0"/>
        </patternFill>
      </fill>
    </dxf>
    <dxf>
      <border>
        <right style="thin">
          <color auto="1"/>
        </right>
        <vertical/>
        <horizontal/>
      </border>
    </dxf>
    <dxf>
      <border>
        <top style="thin">
          <color auto="1"/>
        </top>
      </border>
    </dxf>
    <dxf>
      <border>
        <right style="thin">
          <color auto="1"/>
        </right>
        <vertical/>
        <horizontal/>
      </border>
    </dxf>
    <dxf>
      <fill>
        <patternFill>
          <bgColor theme="0"/>
        </patternFill>
      </fill>
    </dxf>
    <dxf>
      <border>
        <right style="thin">
          <color auto="1"/>
        </right>
        <bottom/>
        <vertical/>
        <horizontal/>
      </border>
    </dxf>
    <dxf>
      <fill>
        <patternFill>
          <bgColor theme="0"/>
        </patternFill>
      </fill>
    </dxf>
    <dxf>
      <border>
        <bottom style="thin">
          <color auto="1"/>
        </bottom>
        <vertical/>
        <horizontal/>
      </border>
    </dxf>
    <dxf>
      <border>
        <right style="thin">
          <color auto="1"/>
        </right>
        <vertical/>
        <horizontal/>
      </border>
    </dxf>
    <dxf>
      <fill>
        <patternFill>
          <bgColor theme="0"/>
        </patternFill>
      </fill>
    </dxf>
    <dxf>
      <border>
        <top style="thin">
          <color auto="1"/>
        </top>
        <vertical/>
        <horizontal/>
      </border>
    </dxf>
    <dxf>
      <border>
        <right style="thin">
          <color auto="1"/>
        </right>
        <vertical/>
        <horizontal/>
      </border>
    </dxf>
    <dxf>
      <border>
        <bottom style="thin">
          <color auto="1"/>
        </bottom>
        <vertical/>
        <horizontal/>
      </border>
    </dxf>
    <dxf>
      <fill>
        <patternFill>
          <bgColor theme="0"/>
        </patternFill>
      </fill>
    </dxf>
    <dxf>
      <fill>
        <patternFill>
          <bgColor theme="0"/>
        </patternFill>
      </fill>
    </dxf>
    <dxf>
      <border>
        <right style="thin">
          <color auto="1"/>
        </right>
        <vertical/>
        <horizontal/>
      </border>
    </dxf>
    <dxf>
      <fill>
        <patternFill>
          <bgColor theme="0"/>
        </patternFill>
      </fill>
    </dxf>
    <dxf>
      <border>
        <top style="thin">
          <color auto="1"/>
        </top>
        <bottom/>
        <vertical/>
        <horizontal/>
      </border>
    </dxf>
    <dxf>
      <border>
        <right style="thin">
          <color auto="1"/>
        </right>
        <vertical/>
        <horizontal/>
      </border>
    </dxf>
    <dxf>
      <fill>
        <patternFill>
          <bgColor theme="0"/>
        </patternFill>
      </fill>
    </dxf>
    <dxf>
      <border>
        <bottom style="thin">
          <color auto="1"/>
        </bottom>
        <vertical/>
        <horizontal/>
      </border>
    </dxf>
    <dxf>
      <border>
        <right style="thin">
          <color auto="1"/>
        </right>
        <vertical/>
        <horizontal/>
      </border>
    </dxf>
    <dxf>
      <border>
        <right style="thin">
          <color auto="1"/>
        </right>
        <vertical/>
        <horizontal/>
      </border>
    </dxf>
    <dxf>
      <border>
        <top style="thin">
          <color auto="1"/>
        </top>
        <vertical/>
        <horizontal/>
      </border>
    </dxf>
    <dxf>
      <fill>
        <patternFill>
          <bgColor theme="0"/>
        </patternFill>
      </fill>
    </dxf>
    <dxf>
      <border>
        <bottom style="thin">
          <color auto="1"/>
        </bottom>
        <vertical/>
        <horizontal/>
      </border>
    </dxf>
    <dxf>
      <fill>
        <patternFill>
          <bgColor theme="0"/>
        </patternFill>
      </fill>
    </dxf>
    <dxf>
      <border>
        <right style="thin">
          <color auto="1"/>
        </right>
        <vertical/>
        <horizontal/>
      </border>
    </dxf>
    <dxf>
      <fill>
        <patternFill>
          <bgColor theme="0"/>
        </patternFill>
      </fill>
    </dxf>
    <dxf>
      <border>
        <right style="thin">
          <color auto="1"/>
        </right>
        <vertical/>
        <horizontal/>
      </border>
    </dxf>
    <dxf>
      <fill>
        <patternFill>
          <bgColor theme="0"/>
        </patternFill>
      </fill>
    </dxf>
    <dxf>
      <border>
        <right style="thin">
          <color auto="1"/>
        </right>
        <vertical/>
        <horizontal/>
      </border>
    </dxf>
    <dxf>
      <border>
        <top style="thin">
          <color auto="1"/>
        </top>
        <vertical/>
        <horizontal/>
      </border>
    </dxf>
    <dxf>
      <border>
        <bottom style="thin">
          <color auto="1"/>
        </bottom>
        <vertical/>
        <horizontal/>
      </border>
    </dxf>
    <dxf>
      <fill>
        <patternFill>
          <bgColor theme="0"/>
        </patternFill>
      </fill>
    </dxf>
    <dxf>
      <border>
        <right style="thin">
          <color auto="1"/>
        </right>
        <vertical/>
        <horizontal/>
      </border>
    </dxf>
    <dxf>
      <border>
        <top style="thin">
          <color auto="1"/>
        </top>
        <vertical/>
        <horizontal/>
      </border>
    </dxf>
    <dxf>
      <fill>
        <patternFill>
          <bgColor theme="0"/>
        </patternFill>
      </fill>
    </dxf>
    <dxf>
      <border>
        <right style="thin">
          <color auto="1"/>
        </right>
        <vertical/>
        <horizontal/>
      </border>
    </dxf>
    <dxf>
      <fill>
        <patternFill>
          <bgColor theme="0"/>
        </patternFill>
      </fill>
    </dxf>
    <dxf>
      <border>
        <top/>
        <bottom style="thin">
          <color auto="1"/>
        </bottom>
        <vertical/>
        <horizontal/>
      </border>
    </dxf>
    <dxf>
      <border>
        <right style="thin">
          <color auto="1"/>
        </right>
        <vertical/>
        <horizontal/>
      </border>
    </dxf>
    <dxf>
      <border>
        <right style="thin">
          <color auto="1"/>
        </right>
        <vertical/>
        <horizontal/>
      </border>
    </dxf>
    <dxf>
      <fill>
        <patternFill>
          <bgColor theme="0"/>
        </patternFill>
      </fill>
    </dxf>
    <dxf>
      <fill>
        <patternFill>
          <bgColor theme="0"/>
        </patternFill>
      </fill>
    </dxf>
    <dxf>
      <border>
        <top style="thin">
          <color auto="1"/>
        </top>
      </border>
    </dxf>
    <dxf>
      <border>
        <right style="thin">
          <color auto="1"/>
        </right>
        <vertical/>
        <horizontal/>
      </border>
    </dxf>
    <dxf>
      <border>
        <right style="thin">
          <color auto="1"/>
        </right>
        <vertical/>
        <horizontal/>
      </border>
    </dxf>
    <dxf>
      <fill>
        <patternFill>
          <bgColor theme="0"/>
        </patternFill>
      </fill>
    </dxf>
    <dxf>
      <border>
        <bottom style="thin">
          <color auto="1"/>
        </bottom>
        <vertical/>
        <horizontal/>
      </border>
    </dxf>
    <dxf>
      <border>
        <top style="thin">
          <color auto="1"/>
        </top>
        <vertical/>
        <horizontal/>
      </border>
    </dxf>
    <dxf>
      <border>
        <right style="thin">
          <color auto="1"/>
        </right>
        <vertical/>
        <horizontal/>
      </border>
    </dxf>
    <dxf>
      <fill>
        <patternFill>
          <bgColor theme="0"/>
        </patternFill>
      </fill>
    </dxf>
    <dxf>
      <border>
        <right style="thin">
          <color auto="1"/>
        </right>
      </border>
    </dxf>
    <dxf>
      <border>
        <bottom style="thin">
          <color auto="1"/>
        </bottom>
      </border>
    </dxf>
    <dxf>
      <fill>
        <patternFill>
          <bgColor theme="0"/>
        </patternFill>
      </fill>
    </dxf>
    <dxf>
      <border>
        <right style="thin">
          <color auto="1"/>
        </right>
        <vertical/>
        <horizontal/>
      </border>
    </dxf>
    <dxf>
      <fill>
        <patternFill>
          <bgColor theme="0"/>
        </patternFill>
      </fill>
    </dxf>
    <dxf>
      <fill>
        <patternFill>
          <bgColor theme="0"/>
        </patternFill>
      </fill>
    </dxf>
    <dxf>
      <border>
        <right style="thin">
          <color auto="1"/>
        </right>
        <vertical/>
        <horizontal/>
      </border>
    </dxf>
    <dxf>
      <border>
        <top style="thin">
          <color auto="1"/>
        </top>
        <vertical/>
        <horizontal/>
      </border>
    </dxf>
    <dxf>
      <border>
        <bottom style="thin">
          <color auto="1"/>
        </bottom>
        <vertical/>
        <horizontal/>
      </border>
    </dxf>
    <dxf>
      <border>
        <right style="thin">
          <color auto="1"/>
        </right>
        <vertical/>
        <horizontal/>
      </border>
    </dxf>
    <dxf>
      <fill>
        <patternFill>
          <bgColor theme="0"/>
        </patternFill>
      </fill>
      <border>
        <bottom/>
        <vertical/>
        <horizontal/>
      </border>
    </dxf>
    <dxf>
      <border>
        <top style="thin">
          <color auto="1"/>
        </top>
        <vertical/>
        <horizontal/>
      </border>
    </dxf>
    <dxf>
      <border>
        <right style="thin">
          <color auto="1"/>
        </right>
        <vertical/>
        <horizontal/>
      </border>
    </dxf>
    <dxf>
      <fill>
        <patternFill>
          <bgColor theme="0"/>
        </patternFill>
      </fill>
    </dxf>
    <dxf>
      <border>
        <right style="thin">
          <color auto="1"/>
        </right>
        <vertical/>
        <horizontal/>
      </border>
    </dxf>
    <dxf>
      <fill>
        <patternFill>
          <bgColor theme="0"/>
        </patternFill>
      </fill>
    </dxf>
    <dxf>
      <border>
        <bottom style="thin">
          <color auto="1"/>
        </bottom>
        <vertical/>
        <horizontal/>
      </border>
    </dxf>
    <dxf>
      <border>
        <right style="thin">
          <color auto="1"/>
        </right>
        <vertical/>
        <horizontal/>
      </border>
    </dxf>
    <dxf>
      <fill>
        <patternFill>
          <bgColor theme="0"/>
        </patternFill>
      </fill>
    </dxf>
    <dxf>
      <border>
        <top style="thin">
          <color auto="1"/>
        </top>
        <vertical/>
        <horizontal/>
      </border>
    </dxf>
    <dxf>
      <border>
        <right style="thin">
          <color auto="1"/>
        </right>
        <vertical/>
        <horizontal/>
      </border>
    </dxf>
    <dxf>
      <fill>
        <patternFill>
          <bgColor theme="0"/>
        </patternFill>
      </fill>
    </dxf>
    <dxf>
      <fill>
        <patternFill>
          <bgColor theme="0"/>
        </patternFill>
      </fill>
    </dxf>
    <dxf>
      <border>
        <top/>
        <bottom style="thin">
          <color auto="1"/>
        </bottom>
        <vertical/>
        <horizontal/>
      </border>
    </dxf>
    <dxf>
      <border>
        <right style="thin">
          <color auto="1"/>
        </right>
        <vertical/>
        <horizontal/>
      </border>
    </dxf>
    <dxf>
      <border>
        <top style="thin">
          <color auto="1"/>
        </top>
        <vertical/>
        <horizontal/>
      </border>
    </dxf>
    <dxf>
      <fill>
        <patternFill>
          <bgColor theme="0"/>
        </patternFill>
      </fill>
    </dxf>
    <dxf>
      <border>
        <right style="thin">
          <color auto="1"/>
        </right>
        <vertical/>
        <horizontal/>
      </border>
    </dxf>
    <dxf>
      <fill>
        <patternFill>
          <bgColor theme="0"/>
        </patternFill>
      </fill>
    </dxf>
    <dxf>
      <border>
        <bottom style="thin">
          <color auto="1"/>
        </bottom>
        <vertical/>
        <horizontal/>
      </border>
    </dxf>
    <dxf>
      <fill>
        <patternFill>
          <bgColor theme="0"/>
        </patternFill>
      </fill>
    </dxf>
    <dxf>
      <fill>
        <patternFill>
          <bgColor theme="0"/>
        </patternFill>
      </fill>
    </dxf>
    <dxf>
      <border>
        <right style="thin">
          <color auto="1"/>
        </right>
        <vertical/>
        <horizontal/>
      </border>
    </dxf>
    <dxf>
      <border>
        <right style="thin">
          <color auto="1"/>
        </right>
        <vertical/>
        <horizontal/>
      </border>
    </dxf>
    <dxf>
      <fill>
        <patternFill>
          <bgColor theme="0"/>
        </patternFill>
      </fill>
    </dxf>
    <dxf>
      <border>
        <top style="thin">
          <color auto="1"/>
        </top>
        <vertical/>
        <horizontal/>
      </border>
    </dxf>
    <dxf>
      <border>
        <bottom style="thin">
          <color auto="1"/>
        </bottom>
        <vertical/>
        <horizontal/>
      </border>
    </dxf>
    <dxf>
      <fill>
        <patternFill>
          <bgColor theme="0"/>
        </patternFill>
      </fill>
    </dxf>
    <dxf>
      <border>
        <right style="thin">
          <color auto="1"/>
        </right>
        <vertical/>
        <horizontal/>
      </border>
    </dxf>
    <dxf>
      <border>
        <right style="thin">
          <color auto="1"/>
        </right>
        <vertical/>
        <horizontal/>
      </border>
    </dxf>
    <dxf>
      <fill>
        <patternFill>
          <bgColor theme="0"/>
        </patternFill>
      </fill>
    </dxf>
    <dxf>
      <border>
        <top style="thin">
          <color auto="1"/>
        </top>
        <vertical/>
        <horizontal/>
      </border>
    </dxf>
    <dxf>
      <fill>
        <patternFill>
          <bgColor theme="0"/>
        </patternFill>
      </fill>
      <border>
        <left/>
        <right/>
        <top/>
        <bottom/>
      </border>
    </dxf>
    <dxf>
      <border>
        <right style="thin">
          <color auto="1"/>
        </right>
        <vertical/>
        <horizontal/>
      </border>
    </dxf>
    <dxf>
      <border>
        <bottom style="thin">
          <color auto="1"/>
        </bottom>
        <vertical/>
        <horizontal/>
      </border>
    </dxf>
    <dxf>
      <border>
        <right style="thin">
          <color auto="1"/>
        </right>
        <vertical/>
        <horizontal/>
      </border>
    </dxf>
    <dxf>
      <fill>
        <patternFill>
          <bgColor theme="0"/>
        </patternFill>
      </fill>
    </dxf>
    <dxf>
      <fill>
        <patternFill>
          <bgColor rgb="FFB7DEE8"/>
        </patternFill>
      </fill>
      <border>
        <left/>
        <right/>
        <top style="thin">
          <color indexed="64"/>
        </top>
        <bottom/>
      </border>
    </dxf>
    <dxf>
      <border>
        <right style="thin">
          <color auto="1"/>
        </right>
        <vertical/>
        <horizontal/>
      </border>
    </dxf>
    <dxf>
      <fill>
        <patternFill>
          <bgColor theme="0"/>
        </patternFill>
      </fill>
    </dxf>
    <dxf>
      <border>
        <bottom style="thin">
          <color auto="1"/>
        </bottom>
        <vertical/>
        <horizontal/>
      </border>
    </dxf>
    <dxf>
      <fill>
        <patternFill>
          <bgColor theme="0"/>
        </patternFill>
      </fill>
    </dxf>
    <dxf>
      <border>
        <right style="thin">
          <color auto="1"/>
        </right>
        <vertical/>
        <horizontal/>
      </border>
    </dxf>
    <dxf>
      <border>
        <top style="thin">
          <color auto="1"/>
        </top>
        <vertical/>
        <horizontal/>
      </border>
    </dxf>
    <dxf>
      <fill>
        <patternFill>
          <bgColor theme="0"/>
        </patternFill>
      </fill>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border>
        <right style="thin">
          <color auto="1"/>
        </right>
        <vertical/>
        <horizontal/>
      </border>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theme="0"/>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border>
        <left style="thin">
          <color indexed="64"/>
        </left>
        <right style="thin">
          <color indexed="64"/>
        </right>
        <top style="thin">
          <color indexed="64"/>
        </top>
      </border>
    </dxf>
    <dxf>
      <fill>
        <patternFill>
          <bgColor rgb="FFB7DEE8"/>
        </patternFill>
      </fill>
    </dxf>
    <dxf>
      <border>
        <left style="thin">
          <color indexed="64"/>
        </left>
        <right style="thin">
          <color indexed="64"/>
        </right>
        <top style="thin">
          <color indexed="64"/>
        </top>
      </border>
    </dxf>
    <dxf>
      <fill>
        <patternFill>
          <bgColor rgb="FFB7DEE8"/>
        </patternFill>
      </fill>
    </dxf>
    <dxf>
      <fill>
        <patternFill>
          <bgColor rgb="FFB7DEE8"/>
        </patternFill>
      </fill>
    </dxf>
    <dxf>
      <fill>
        <patternFill>
          <bgColor theme="0"/>
        </patternFill>
      </fill>
    </dxf>
    <dxf>
      <fill>
        <patternFill>
          <bgColor rgb="FFB7DEE8"/>
        </patternFill>
      </fill>
    </dxf>
    <dxf>
      <border>
        <left style="thin">
          <color indexed="64"/>
        </left>
        <right style="thin">
          <color indexed="64"/>
        </right>
        <top/>
        <bottom style="thin">
          <color indexed="64"/>
        </bottom>
      </border>
    </dxf>
    <dxf>
      <fill>
        <patternFill>
          <bgColor rgb="FFB7DEE8"/>
        </patternFill>
      </fill>
    </dxf>
    <dxf>
      <fill>
        <patternFill>
          <bgColor rgb="FFB7DEE8"/>
        </patternFill>
      </fill>
    </dxf>
    <dxf>
      <border>
        <left style="thin">
          <color auto="1"/>
        </left>
        <right style="thin">
          <color auto="1"/>
        </right>
        <bottom style="thin">
          <color auto="1"/>
        </bottom>
        <vertical/>
        <horizontal/>
      </border>
    </dxf>
    <dxf>
      <fill>
        <patternFill>
          <bgColor theme="0"/>
        </patternFill>
      </fill>
    </dxf>
    <dxf>
      <border>
        <left style="thin">
          <color indexed="64"/>
        </left>
        <right style="thin">
          <color indexed="64"/>
        </right>
        <top/>
        <bottom style="thin">
          <color indexed="64"/>
        </bottom>
      </border>
    </dxf>
    <dxf>
      <fill>
        <patternFill>
          <bgColor rgb="FFB7DEE8"/>
        </patternFill>
      </fill>
    </dxf>
    <dxf>
      <fill>
        <patternFill>
          <bgColor rgb="FFB7DEE8"/>
        </patternFill>
      </fill>
    </dxf>
    <dxf>
      <fill>
        <patternFill>
          <bgColor rgb="FFB7DEE8"/>
        </patternFill>
      </fill>
    </dxf>
    <dxf>
      <fill>
        <patternFill patternType="solid">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
      <fill>
        <patternFill>
          <bgColor rgb="FFB7DEE8"/>
        </patternFill>
      </fill>
    </dxf>
  </dxfs>
  <tableStyles count="0" defaultTableStyle="TableStyleMedium2" defaultPivotStyle="PivotStyleLight16"/>
  <colors>
    <mruColors>
      <color rgb="FFB7DEE8"/>
      <color rgb="FFFFFFFF"/>
      <color rgb="FFFFC000"/>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List" dx="22" fmlaLink="Hulpblad_overig!$B$17" fmlaRange="Hulpblad_overig!$A$14:$A$16" sel="1" val="0"/>
</file>

<file path=xl/ctrlProps/ctrlProp10.xml><?xml version="1.0" encoding="utf-8"?>
<formControlPr xmlns="http://schemas.microsoft.com/office/spreadsheetml/2009/9/main" objectType="List" dx="22" fmlaLink="Hulpblad_overig!$C$39" fmlaRange="Hulpblad_overig!$C$34:$C$35" sel="1" val="0"/>
</file>

<file path=xl/ctrlProps/ctrlProp11.xml><?xml version="1.0" encoding="utf-8"?>
<formControlPr xmlns="http://schemas.microsoft.com/office/spreadsheetml/2009/9/main" objectType="List" dx="22" fmlaLink="Hulpblad_overig!$B$11" fmlaRange="Hulpblad_overig!$D$34:$D$35" sel="1" val="0"/>
</file>

<file path=xl/ctrlProps/ctrlProp12.xml><?xml version="1.0" encoding="utf-8"?>
<formControlPr xmlns="http://schemas.microsoft.com/office/spreadsheetml/2009/9/main" objectType="List" dx="22" fmlaLink="Hulpblad_overig!$A$32" fmlaRange="Hulpblad_overig!$A$30:$A$31" sel="1" val="0"/>
</file>

<file path=xl/ctrlProps/ctrlProp2.xml><?xml version="1.0" encoding="utf-8"?>
<formControlPr xmlns="http://schemas.microsoft.com/office/spreadsheetml/2009/9/main" objectType="List" dx="22" fmlaLink="Hulpblad_overig!$B$22" fmlaRange="Hulpblad_overig!$B$19:$BB$20" sel="2" val="0"/>
</file>

<file path=xl/ctrlProps/ctrlProp3.xml><?xml version="1.0" encoding="utf-8"?>
<formControlPr xmlns="http://schemas.microsoft.com/office/spreadsheetml/2009/9/main" objectType="List" dx="22" fmlaLink="Hulpblad_overig!$B$4" fmlaRange="Hulpblad_overig!$A$34:$A$35" sel="1" val="0"/>
</file>

<file path=xl/ctrlProps/ctrlProp4.xml><?xml version="1.0" encoding="utf-8"?>
<formControlPr xmlns="http://schemas.microsoft.com/office/spreadsheetml/2009/9/main" objectType="List" dx="22" fmlaLink="Hulpblad_overig!$B$8" fmlaRange="Hulpblad_overig!$A$7:$A$8" sel="1" val="0"/>
</file>

<file path=xl/ctrlProps/ctrlProp5.xml><?xml version="1.0" encoding="utf-8"?>
<formControlPr xmlns="http://schemas.microsoft.com/office/spreadsheetml/2009/9/main" objectType="List" dx="22" fmlaLink="Hulpblad_overig!$B$221" fmlaRange="Hulpblad_overig!$B$218:$B$220" sel="1" val="0"/>
</file>

<file path=xl/ctrlProps/ctrlProp6.xml><?xml version="1.0" encoding="utf-8"?>
<formControlPr xmlns="http://schemas.microsoft.com/office/spreadsheetml/2009/9/main" objectType="List" dx="22" fmlaLink="Hulpblad_categorieën_parameters!$B$7" fmlaRange="Hulpblad_categorieën_parameters!$B$2:$B$6" sel="1" val="0"/>
</file>

<file path=xl/ctrlProps/ctrlProp7.xml><?xml version="1.0" encoding="utf-8"?>
<formControlPr xmlns="http://schemas.microsoft.com/office/spreadsheetml/2009/9/main" objectType="List" dx="22" fmlaLink="Hulpblad_categorieën_parameters!$C$25" fmlaRange="Hulpblad_categorieën_parameters!$C$16:$C$24" sel="4" val="0"/>
</file>

<file path=xl/ctrlProps/ctrlProp8.xml><?xml version="1.0" encoding="utf-8"?>
<formControlPr xmlns="http://schemas.microsoft.com/office/spreadsheetml/2009/9/main" objectType="List" dx="22" fmlaLink="Hulpblad_categorieën_parameters!$C$75" fmlaRange="Hulpblad_categorieën_parameters!$C$56:$C$74" sel="1" val="0"/>
</file>

<file path=xl/ctrlProps/ctrlProp9.xml><?xml version="1.0" encoding="utf-8"?>
<formControlPr xmlns="http://schemas.microsoft.com/office/spreadsheetml/2009/9/main" objectType="List" dx="22" fmlaLink="Hulpblad_overig!$B$39" fmlaRange="Hulpblad_overig!$B$34:$B$35" sel="1" val="0"/>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0</xdr:colOff>
      <xdr:row>1</xdr:row>
      <xdr:rowOff>0</xdr:rowOff>
    </xdr:to>
    <xdr:pic>
      <xdr:nvPicPr>
        <xdr:cNvPr id="4" name="Afbeelding 2">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l="18280"/>
        <a:stretch>
          <a:fillRect/>
        </a:stretch>
      </xdr:blipFill>
      <xdr:spPr bwMode="auto">
        <a:xfrm>
          <a:off x="0" y="0"/>
          <a:ext cx="8258175" cy="1714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0</xdr:colOff>
          <xdr:row>14</xdr:row>
          <xdr:rowOff>28575</xdr:rowOff>
        </xdr:from>
        <xdr:to>
          <xdr:col>5</xdr:col>
          <xdr:colOff>19050</xdr:colOff>
          <xdr:row>16</xdr:row>
          <xdr:rowOff>142875</xdr:rowOff>
        </xdr:to>
        <xdr:sp macro="" textlink="">
          <xdr:nvSpPr>
            <xdr:cNvPr id="2049" name="List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695325</xdr:colOff>
          <xdr:row>51</xdr:row>
          <xdr:rowOff>47625</xdr:rowOff>
        </xdr:from>
        <xdr:to>
          <xdr:col>7</xdr:col>
          <xdr:colOff>19050</xdr:colOff>
          <xdr:row>53</xdr:row>
          <xdr:rowOff>28575</xdr:rowOff>
        </xdr:to>
        <xdr:sp macro="" textlink="">
          <xdr:nvSpPr>
            <xdr:cNvPr id="2050" name="List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1362075</xdr:colOff>
          <xdr:row>7</xdr:row>
          <xdr:rowOff>28575</xdr:rowOff>
        </xdr:from>
        <xdr:to>
          <xdr:col>5</xdr:col>
          <xdr:colOff>0</xdr:colOff>
          <xdr:row>7</xdr:row>
          <xdr:rowOff>323850</xdr:rowOff>
        </xdr:to>
        <xdr:sp macro="" textlink="">
          <xdr:nvSpPr>
            <xdr:cNvPr id="2051" name="List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1352550</xdr:colOff>
          <xdr:row>8</xdr:row>
          <xdr:rowOff>28575</xdr:rowOff>
        </xdr:from>
        <xdr:to>
          <xdr:col>5</xdr:col>
          <xdr:colOff>0</xdr:colOff>
          <xdr:row>8</xdr:row>
          <xdr:rowOff>323850</xdr:rowOff>
        </xdr:to>
        <xdr:sp macro="" textlink="">
          <xdr:nvSpPr>
            <xdr:cNvPr id="2052" name="List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3676650</xdr:colOff>
          <xdr:row>28</xdr:row>
          <xdr:rowOff>28575</xdr:rowOff>
        </xdr:from>
        <xdr:to>
          <xdr:col>5</xdr:col>
          <xdr:colOff>9525</xdr:colOff>
          <xdr:row>29</xdr:row>
          <xdr:rowOff>295275</xdr:rowOff>
        </xdr:to>
        <xdr:sp macro="" textlink="">
          <xdr:nvSpPr>
            <xdr:cNvPr id="3073" name="List Box 1" hidden="1">
              <a:extLst>
                <a:ext uri="{63B3BB69-23CF-44E3-9099-C40C66FF867C}">
                  <a14:compatExt spid="_x0000_s3073"/>
                </a:ext>
                <a:ext uri="{FF2B5EF4-FFF2-40B4-BE49-F238E27FC236}">
                  <a16:creationId xmlns:a16="http://schemas.microsoft.com/office/drawing/2014/main" id="{00000000-0008-0000-0200-000001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7</xdr:row>
          <xdr:rowOff>38100</xdr:rowOff>
        </xdr:from>
        <xdr:to>
          <xdr:col>5</xdr:col>
          <xdr:colOff>0</xdr:colOff>
          <xdr:row>7</xdr:row>
          <xdr:rowOff>742950</xdr:rowOff>
        </xdr:to>
        <xdr:sp macro="" textlink="">
          <xdr:nvSpPr>
            <xdr:cNvPr id="3074" name="List Box 2" hidden="1">
              <a:extLst>
                <a:ext uri="{63B3BB69-23CF-44E3-9099-C40C66FF867C}">
                  <a14:compatExt spid="_x0000_s3074"/>
                </a:ext>
                <a:ext uri="{FF2B5EF4-FFF2-40B4-BE49-F238E27FC236}">
                  <a16:creationId xmlns:a16="http://schemas.microsoft.com/office/drawing/2014/main" id="{00000000-0008-0000-0200-000002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8</xdr:row>
          <xdr:rowOff>47625</xdr:rowOff>
        </xdr:from>
        <xdr:to>
          <xdr:col>5</xdr:col>
          <xdr:colOff>0</xdr:colOff>
          <xdr:row>8</xdr:row>
          <xdr:rowOff>1257300</xdr:rowOff>
        </xdr:to>
        <xdr:sp macro="" textlink="">
          <xdr:nvSpPr>
            <xdr:cNvPr id="3075" name="List Box 3" hidden="1">
              <a:extLst>
                <a:ext uri="{63B3BB69-23CF-44E3-9099-C40C66FF867C}">
                  <a14:compatExt spid="_x0000_s3075"/>
                </a:ext>
                <a:ext uri="{FF2B5EF4-FFF2-40B4-BE49-F238E27FC236}">
                  <a16:creationId xmlns:a16="http://schemas.microsoft.com/office/drawing/2014/main" id="{00000000-0008-0000-0200-000003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9</xdr:row>
          <xdr:rowOff>19050</xdr:rowOff>
        </xdr:from>
        <xdr:to>
          <xdr:col>5</xdr:col>
          <xdr:colOff>9525</xdr:colOff>
          <xdr:row>9</xdr:row>
          <xdr:rowOff>2457450</xdr:rowOff>
        </xdr:to>
        <xdr:sp macro="" textlink="">
          <xdr:nvSpPr>
            <xdr:cNvPr id="3076" name="List Box 4" hidden="1">
              <a:extLst>
                <a:ext uri="{63B3BB69-23CF-44E3-9099-C40C66FF867C}">
                  <a14:compatExt spid="_x0000_s3076"/>
                </a:ext>
                <a:ext uri="{FF2B5EF4-FFF2-40B4-BE49-F238E27FC236}">
                  <a16:creationId xmlns:a16="http://schemas.microsoft.com/office/drawing/2014/main" id="{00000000-0008-0000-0200-000004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39</xdr:row>
          <xdr:rowOff>257175</xdr:rowOff>
        </xdr:from>
        <xdr:to>
          <xdr:col>5</xdr:col>
          <xdr:colOff>9525</xdr:colOff>
          <xdr:row>40</xdr:row>
          <xdr:rowOff>304800</xdr:rowOff>
        </xdr:to>
        <xdr:sp macro="" textlink="">
          <xdr:nvSpPr>
            <xdr:cNvPr id="3077" name="List Box 5" hidden="1">
              <a:extLst>
                <a:ext uri="{63B3BB69-23CF-44E3-9099-C40C66FF867C}">
                  <a14:compatExt spid="_x0000_s3077"/>
                </a:ext>
                <a:ext uri="{FF2B5EF4-FFF2-40B4-BE49-F238E27FC236}">
                  <a16:creationId xmlns:a16="http://schemas.microsoft.com/office/drawing/2014/main" id="{00000000-0008-0000-0200-000005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45</xdr:row>
          <xdr:rowOff>95250</xdr:rowOff>
        </xdr:from>
        <xdr:to>
          <xdr:col>5</xdr:col>
          <xdr:colOff>0</xdr:colOff>
          <xdr:row>45</xdr:row>
          <xdr:rowOff>390525</xdr:rowOff>
        </xdr:to>
        <xdr:sp macro="" textlink="">
          <xdr:nvSpPr>
            <xdr:cNvPr id="3078" name="List Box 6" hidden="1">
              <a:extLst>
                <a:ext uri="{63B3BB69-23CF-44E3-9099-C40C66FF867C}">
                  <a14:compatExt spid="_x0000_s3078"/>
                </a:ext>
                <a:ext uri="{FF2B5EF4-FFF2-40B4-BE49-F238E27FC236}">
                  <a16:creationId xmlns:a16="http://schemas.microsoft.com/office/drawing/2014/main" id="{00000000-0008-0000-0200-000006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3705225</xdr:colOff>
          <xdr:row>13</xdr:row>
          <xdr:rowOff>19050</xdr:rowOff>
        </xdr:from>
        <xdr:to>
          <xdr:col>3</xdr:col>
          <xdr:colOff>552450</xdr:colOff>
          <xdr:row>14</xdr:row>
          <xdr:rowOff>142875</xdr:rowOff>
        </xdr:to>
        <xdr:sp macro="" textlink="">
          <xdr:nvSpPr>
            <xdr:cNvPr id="3079" name="List Box 7" hidden="1">
              <a:extLst>
                <a:ext uri="{63B3BB69-23CF-44E3-9099-C40C66FF867C}">
                  <a14:compatExt spid="_x0000_s3079"/>
                </a:ext>
                <a:ext uri="{FF2B5EF4-FFF2-40B4-BE49-F238E27FC236}">
                  <a16:creationId xmlns:a16="http://schemas.microsoft.com/office/drawing/2014/main" id="{00000000-0008-0000-0200-0000070C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7</xdr:col>
          <xdr:colOff>19050</xdr:colOff>
          <xdr:row>32</xdr:row>
          <xdr:rowOff>152400</xdr:rowOff>
        </xdr:from>
        <xdr:to>
          <xdr:col>10</xdr:col>
          <xdr:colOff>9525</xdr:colOff>
          <xdr:row>34</xdr:row>
          <xdr:rowOff>123825</xdr:rowOff>
        </xdr:to>
        <xdr:sp macro="" textlink="">
          <xdr:nvSpPr>
            <xdr:cNvPr id="4097" name="List Box 1" hidden="1">
              <a:extLst>
                <a:ext uri="{63B3BB69-23CF-44E3-9099-C40C66FF867C}">
                  <a14:compatExt spid="_x0000_s4097"/>
                </a:ext>
                <a:ext uri="{FF2B5EF4-FFF2-40B4-BE49-F238E27FC236}">
                  <a16:creationId xmlns:a16="http://schemas.microsoft.com/office/drawing/2014/main" id="{00000000-0008-0000-0300-0000011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T:\rvo\Kluis_Beleidsadvisering_SDE_MEP\2024\HBS%20SDE++2024\pbl-2024-Onrendabele-top-model-eindadvies-SDE-plus-plus-2024-5041.xlsx" TargetMode="External"/><Relationship Id="rId1" Type="http://schemas.openxmlformats.org/officeDocument/2006/relationships/externalLinkPath" Target="/rvo/Kluis_Beleidsadvisering_SDE_MEP/2024/HBS%20SDE++2024/pbl-2024-Onrendabele-top-model-eindadvies-SDE-plus-plus-2024-504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lofon"/>
      <sheetName val="Overzicht"/>
      <sheetName val="Correcties"/>
      <sheetName val="Wordtabellen"/>
      <sheetName val="Rangschikking"/>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 val="54"/>
      <sheetName val="55"/>
      <sheetName val="56"/>
      <sheetName val="57"/>
      <sheetName val="58"/>
      <sheetName val="59"/>
      <sheetName val="60"/>
      <sheetName val="61"/>
      <sheetName val="62"/>
      <sheetName val="63"/>
      <sheetName val="64"/>
      <sheetName val="65"/>
      <sheetName val="66"/>
      <sheetName val="67"/>
      <sheetName val="68"/>
      <sheetName val="69"/>
      <sheetName val="70"/>
      <sheetName val="71"/>
      <sheetName val="72"/>
      <sheetName val="73"/>
      <sheetName val="74"/>
      <sheetName val="75"/>
      <sheetName val="76"/>
      <sheetName val="77"/>
      <sheetName val="78"/>
      <sheetName val="79"/>
      <sheetName val="80"/>
      <sheetName val="81"/>
      <sheetName val="82"/>
      <sheetName val="83"/>
      <sheetName val="84"/>
      <sheetName val="85"/>
      <sheetName val="86"/>
      <sheetName val="87"/>
      <sheetName val="88"/>
      <sheetName val="89"/>
      <sheetName val="90"/>
      <sheetName val="91"/>
      <sheetName val="92"/>
      <sheetName val="93"/>
      <sheetName val="94"/>
      <sheetName val="95"/>
      <sheetName val="96"/>
      <sheetName val="97"/>
      <sheetName val="98"/>
      <sheetName val="99"/>
      <sheetName val="100"/>
      <sheetName val="101"/>
      <sheetName val="102"/>
      <sheetName val="103"/>
      <sheetName val="104"/>
      <sheetName val="105"/>
      <sheetName val="106"/>
      <sheetName val="107"/>
      <sheetName val="108"/>
      <sheetName val="109"/>
      <sheetName val="110"/>
      <sheetName val="111"/>
      <sheetName val="112"/>
      <sheetName val="113"/>
      <sheetName val="114"/>
      <sheetName val="115"/>
      <sheetName val="116"/>
      <sheetName val="117"/>
      <sheetName val="118"/>
      <sheetName val="119"/>
      <sheetName val="120"/>
      <sheetName val="121"/>
      <sheetName val="122"/>
      <sheetName val="123"/>
      <sheetName val="124"/>
      <sheetName val="125"/>
      <sheetName val="126"/>
      <sheetName val="127"/>
      <sheetName val="128"/>
      <sheetName val="129"/>
      <sheetName val="130"/>
      <sheetName val="131"/>
      <sheetName val="132"/>
      <sheetName val="133"/>
      <sheetName val="134"/>
      <sheetName val="135"/>
      <sheetName val="136"/>
      <sheetName val="137"/>
      <sheetName val="138"/>
      <sheetName val="139"/>
      <sheetName val="140"/>
      <sheetName val="141"/>
      <sheetName val="142"/>
      <sheetName val="143"/>
      <sheetName val="144"/>
      <sheetName val="145"/>
      <sheetName val="146"/>
      <sheetName val="147"/>
      <sheetName val="148"/>
      <sheetName val="149"/>
      <sheetName val="150"/>
      <sheetName val="151"/>
      <sheetName val="152"/>
      <sheetName val="153"/>
      <sheetName val="154"/>
      <sheetName val="155"/>
      <sheetName val="156"/>
      <sheetName val="157"/>
      <sheetName val="158"/>
      <sheetName val="159"/>
      <sheetName val="160"/>
      <sheetName val="161"/>
      <sheetName val="162"/>
      <sheetName val="163"/>
      <sheetName val="164"/>
      <sheetName val="165"/>
      <sheetName val="166"/>
      <sheetName val="167"/>
      <sheetName val="168"/>
      <sheetName val="169"/>
      <sheetName val="170"/>
      <sheetName val="171"/>
      <sheetName val="172"/>
      <sheetName val="173"/>
      <sheetName val="174"/>
      <sheetName val="175"/>
      <sheetName val="176"/>
      <sheetName val="177"/>
      <sheetName val="178"/>
      <sheetName val="179"/>
      <sheetName val="180"/>
      <sheetName val="181"/>
      <sheetName val="182"/>
      <sheetName val="183"/>
      <sheetName val="184"/>
      <sheetName val="185"/>
    </sheetNames>
    <sheetDataSet>
      <sheetData sheetId="0">
        <row r="29">
          <cell r="C29">
            <v>2024</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Set>
  </externalBook>
</externalLink>
</file>

<file path=xl/theme/theme1.xml><?xml version="1.0" encoding="utf-8"?>
<a:theme xmlns:a="http://schemas.openxmlformats.org/drawingml/2006/main" name="Office 2013 - 2022 The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rvo.nl/subsidies-financiering/sde/aanvragen/downloads" TargetMode="External"/></Relationships>
</file>

<file path=xl/worksheets/_rels/sheet2.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9.xml"/><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3.xml"/><Relationship Id="rId1" Type="http://schemas.openxmlformats.org/officeDocument/2006/relationships/printerSettings" Target="../printerSettings/printerSettings2.bin"/><Relationship Id="rId6" Type="http://schemas.openxmlformats.org/officeDocument/2006/relationships/ctrlProp" Target="../ctrlProps/ctrlProp7.xml"/><Relationship Id="rId11" Type="http://schemas.openxmlformats.org/officeDocument/2006/relationships/comments" Target="../comments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3.bin"/><Relationship Id="rId5" Type="http://schemas.openxmlformats.org/officeDocument/2006/relationships/comments" Target="../comments3.xml"/><Relationship Id="rId4" Type="http://schemas.openxmlformats.org/officeDocument/2006/relationships/ctrlProp" Target="../ctrlProps/ctrlProp1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5F04D3-B234-46C3-A498-46CC0E2CA5A8}">
  <dimension ref="A1:E33"/>
  <sheetViews>
    <sheetView tabSelected="1" zoomScaleNormal="100" workbookViewId="0">
      <selection activeCell="D10" sqref="D10"/>
    </sheetView>
  </sheetViews>
  <sheetFormatPr defaultRowHeight="15" x14ac:dyDescent="0.25"/>
  <cols>
    <col min="1" max="1" width="123.85546875" style="2" customWidth="1"/>
    <col min="2" max="256" width="9.140625" style="2"/>
    <col min="257" max="257" width="123.85546875" style="2" customWidth="1"/>
    <col min="258" max="512" width="9.140625" style="2"/>
    <col min="513" max="513" width="123.85546875" style="2" customWidth="1"/>
    <col min="514" max="768" width="9.140625" style="2"/>
    <col min="769" max="769" width="123.85546875" style="2" customWidth="1"/>
    <col min="770" max="1024" width="9.140625" style="2"/>
    <col min="1025" max="1025" width="123.85546875" style="2" customWidth="1"/>
    <col min="1026" max="1280" width="9.140625" style="2"/>
    <col min="1281" max="1281" width="123.85546875" style="2" customWidth="1"/>
    <col min="1282" max="1536" width="9.140625" style="2"/>
    <col min="1537" max="1537" width="123.85546875" style="2" customWidth="1"/>
    <col min="1538" max="1792" width="9.140625" style="2"/>
    <col min="1793" max="1793" width="123.85546875" style="2" customWidth="1"/>
    <col min="1794" max="2048" width="9.140625" style="2"/>
    <col min="2049" max="2049" width="123.85546875" style="2" customWidth="1"/>
    <col min="2050" max="2304" width="9.140625" style="2"/>
    <col min="2305" max="2305" width="123.85546875" style="2" customWidth="1"/>
    <col min="2306" max="2560" width="9.140625" style="2"/>
    <col min="2561" max="2561" width="123.85546875" style="2" customWidth="1"/>
    <col min="2562" max="2816" width="9.140625" style="2"/>
    <col min="2817" max="2817" width="123.85546875" style="2" customWidth="1"/>
    <col min="2818" max="3072" width="9.140625" style="2"/>
    <col min="3073" max="3073" width="123.85546875" style="2" customWidth="1"/>
    <col min="3074" max="3328" width="9.140625" style="2"/>
    <col min="3329" max="3329" width="123.85546875" style="2" customWidth="1"/>
    <col min="3330" max="3584" width="9.140625" style="2"/>
    <col min="3585" max="3585" width="123.85546875" style="2" customWidth="1"/>
    <col min="3586" max="3840" width="9.140625" style="2"/>
    <col min="3841" max="3841" width="123.85546875" style="2" customWidth="1"/>
    <col min="3842" max="4096" width="9.140625" style="2"/>
    <col min="4097" max="4097" width="123.85546875" style="2" customWidth="1"/>
    <col min="4098" max="4352" width="9.140625" style="2"/>
    <col min="4353" max="4353" width="123.85546875" style="2" customWidth="1"/>
    <col min="4354" max="4608" width="9.140625" style="2"/>
    <col min="4609" max="4609" width="123.85546875" style="2" customWidth="1"/>
    <col min="4610" max="4864" width="9.140625" style="2"/>
    <col min="4865" max="4865" width="123.85546875" style="2" customWidth="1"/>
    <col min="4866" max="5120" width="9.140625" style="2"/>
    <col min="5121" max="5121" width="123.85546875" style="2" customWidth="1"/>
    <col min="5122" max="5376" width="9.140625" style="2"/>
    <col min="5377" max="5377" width="123.85546875" style="2" customWidth="1"/>
    <col min="5378" max="5632" width="9.140625" style="2"/>
    <col min="5633" max="5633" width="123.85546875" style="2" customWidth="1"/>
    <col min="5634" max="5888" width="9.140625" style="2"/>
    <col min="5889" max="5889" width="123.85546875" style="2" customWidth="1"/>
    <col min="5890" max="6144" width="9.140625" style="2"/>
    <col min="6145" max="6145" width="123.85546875" style="2" customWidth="1"/>
    <col min="6146" max="6400" width="9.140625" style="2"/>
    <col min="6401" max="6401" width="123.85546875" style="2" customWidth="1"/>
    <col min="6402" max="6656" width="9.140625" style="2"/>
    <col min="6657" max="6657" width="123.85546875" style="2" customWidth="1"/>
    <col min="6658" max="6912" width="9.140625" style="2"/>
    <col min="6913" max="6913" width="123.85546875" style="2" customWidth="1"/>
    <col min="6914" max="7168" width="9.140625" style="2"/>
    <col min="7169" max="7169" width="123.85546875" style="2" customWidth="1"/>
    <col min="7170" max="7424" width="9.140625" style="2"/>
    <col min="7425" max="7425" width="123.85546875" style="2" customWidth="1"/>
    <col min="7426" max="7680" width="9.140625" style="2"/>
    <col min="7681" max="7681" width="123.85546875" style="2" customWidth="1"/>
    <col min="7682" max="7936" width="9.140625" style="2"/>
    <col min="7937" max="7937" width="123.85546875" style="2" customWidth="1"/>
    <col min="7938" max="8192" width="9.140625" style="2"/>
    <col min="8193" max="8193" width="123.85546875" style="2" customWidth="1"/>
    <col min="8194" max="8448" width="9.140625" style="2"/>
    <col min="8449" max="8449" width="123.85546875" style="2" customWidth="1"/>
    <col min="8450" max="8704" width="9.140625" style="2"/>
    <col min="8705" max="8705" width="123.85546875" style="2" customWidth="1"/>
    <col min="8706" max="8960" width="9.140625" style="2"/>
    <col min="8961" max="8961" width="123.85546875" style="2" customWidth="1"/>
    <col min="8962" max="9216" width="9.140625" style="2"/>
    <col min="9217" max="9217" width="123.85546875" style="2" customWidth="1"/>
    <col min="9218" max="9472" width="9.140625" style="2"/>
    <col min="9473" max="9473" width="123.85546875" style="2" customWidth="1"/>
    <col min="9474" max="9728" width="9.140625" style="2"/>
    <col min="9729" max="9729" width="123.85546875" style="2" customWidth="1"/>
    <col min="9730" max="9984" width="9.140625" style="2"/>
    <col min="9985" max="9985" width="123.85546875" style="2" customWidth="1"/>
    <col min="9986" max="10240" width="9.140625" style="2"/>
    <col min="10241" max="10241" width="123.85546875" style="2" customWidth="1"/>
    <col min="10242" max="10496" width="9.140625" style="2"/>
    <col min="10497" max="10497" width="123.85546875" style="2" customWidth="1"/>
    <col min="10498" max="10752" width="9.140625" style="2"/>
    <col min="10753" max="10753" width="123.85546875" style="2" customWidth="1"/>
    <col min="10754" max="11008" width="9.140625" style="2"/>
    <col min="11009" max="11009" width="123.85546875" style="2" customWidth="1"/>
    <col min="11010" max="11264" width="9.140625" style="2"/>
    <col min="11265" max="11265" width="123.85546875" style="2" customWidth="1"/>
    <col min="11266" max="11520" width="9.140625" style="2"/>
    <col min="11521" max="11521" width="123.85546875" style="2" customWidth="1"/>
    <col min="11522" max="11776" width="9.140625" style="2"/>
    <col min="11777" max="11777" width="123.85546875" style="2" customWidth="1"/>
    <col min="11778" max="12032" width="9.140625" style="2"/>
    <col min="12033" max="12033" width="123.85546875" style="2" customWidth="1"/>
    <col min="12034" max="12288" width="9.140625" style="2"/>
    <col min="12289" max="12289" width="123.85546875" style="2" customWidth="1"/>
    <col min="12290" max="12544" width="9.140625" style="2"/>
    <col min="12545" max="12545" width="123.85546875" style="2" customWidth="1"/>
    <col min="12546" max="12800" width="9.140625" style="2"/>
    <col min="12801" max="12801" width="123.85546875" style="2" customWidth="1"/>
    <col min="12802" max="13056" width="9.140625" style="2"/>
    <col min="13057" max="13057" width="123.85546875" style="2" customWidth="1"/>
    <col min="13058" max="13312" width="9.140625" style="2"/>
    <col min="13313" max="13313" width="123.85546875" style="2" customWidth="1"/>
    <col min="13314" max="13568" width="9.140625" style="2"/>
    <col min="13569" max="13569" width="123.85546875" style="2" customWidth="1"/>
    <col min="13570" max="13824" width="9.140625" style="2"/>
    <col min="13825" max="13825" width="123.85546875" style="2" customWidth="1"/>
    <col min="13826" max="14080" width="9.140625" style="2"/>
    <col min="14081" max="14081" width="123.85546875" style="2" customWidth="1"/>
    <col min="14082" max="14336" width="9.140625" style="2"/>
    <col min="14337" max="14337" width="123.85546875" style="2" customWidth="1"/>
    <col min="14338" max="14592" width="9.140625" style="2"/>
    <col min="14593" max="14593" width="123.85546875" style="2" customWidth="1"/>
    <col min="14594" max="14848" width="9.140625" style="2"/>
    <col min="14849" max="14849" width="123.85546875" style="2" customWidth="1"/>
    <col min="14850" max="15104" width="9.140625" style="2"/>
    <col min="15105" max="15105" width="123.85546875" style="2" customWidth="1"/>
    <col min="15106" max="15360" width="9.140625" style="2"/>
    <col min="15361" max="15361" width="123.85546875" style="2" customWidth="1"/>
    <col min="15362" max="15616" width="9.140625" style="2"/>
    <col min="15617" max="15617" width="123.85546875" style="2" customWidth="1"/>
    <col min="15618" max="15872" width="9.140625" style="2"/>
    <col min="15873" max="15873" width="123.85546875" style="2" customWidth="1"/>
    <col min="15874" max="16128" width="9.140625" style="2"/>
    <col min="16129" max="16129" width="123.85546875" style="2" customWidth="1"/>
    <col min="16130" max="16384" width="9.140625" style="2"/>
  </cols>
  <sheetData>
    <row r="1" spans="1:2" ht="135" customHeight="1" x14ac:dyDescent="0.25"/>
    <row r="2" spans="1:2" ht="35.25" x14ac:dyDescent="0.25">
      <c r="A2" s="18" t="s">
        <v>705</v>
      </c>
    </row>
    <row r="3" spans="1:2" ht="36" customHeight="1" x14ac:dyDescent="0.25">
      <c r="A3" s="19" t="s">
        <v>961</v>
      </c>
    </row>
    <row r="4" spans="1:2" ht="21.95" customHeight="1" x14ac:dyDescent="0.25">
      <c r="A4" s="20" t="s">
        <v>0</v>
      </c>
    </row>
    <row r="5" spans="1:2" ht="43.15" customHeight="1" x14ac:dyDescent="0.25">
      <c r="A5" s="3" t="s">
        <v>706</v>
      </c>
    </row>
    <row r="6" spans="1:2" ht="14.25" customHeight="1" x14ac:dyDescent="0.25">
      <c r="A6" s="21" t="s">
        <v>1</v>
      </c>
      <c r="B6" s="22"/>
    </row>
    <row r="7" spans="1:2" ht="25.5" x14ac:dyDescent="0.25">
      <c r="A7" s="3" t="s">
        <v>2</v>
      </c>
    </row>
    <row r="8" spans="1:2" ht="33.75" customHeight="1" x14ac:dyDescent="0.25">
      <c r="A8" s="20" t="s">
        <v>3</v>
      </c>
    </row>
    <row r="9" spans="1:2" ht="45" customHeight="1" x14ac:dyDescent="0.25">
      <c r="A9" s="3" t="s">
        <v>4</v>
      </c>
    </row>
    <row r="10" spans="1:2" ht="27" customHeight="1" x14ac:dyDescent="0.25">
      <c r="A10" s="20" t="s">
        <v>5</v>
      </c>
    </row>
    <row r="11" spans="1:2" x14ac:dyDescent="0.25">
      <c r="A11" s="23" t="s">
        <v>6</v>
      </c>
    </row>
    <row r="12" spans="1:2" ht="25.5" x14ac:dyDescent="0.25">
      <c r="A12" s="3" t="s">
        <v>7</v>
      </c>
    </row>
    <row r="13" spans="1:2" s="4" customFormat="1" x14ac:dyDescent="0.25">
      <c r="A13" s="12"/>
    </row>
    <row r="14" spans="1:2" x14ac:dyDescent="0.25">
      <c r="A14" s="23" t="s">
        <v>8</v>
      </c>
    </row>
    <row r="15" spans="1:2" ht="38.25" x14ac:dyDescent="0.25">
      <c r="A15" s="3" t="s">
        <v>9</v>
      </c>
    </row>
    <row r="16" spans="1:2" x14ac:dyDescent="0.25">
      <c r="A16" s="3"/>
    </row>
    <row r="17" spans="1:5" x14ac:dyDescent="0.25">
      <c r="A17" s="23" t="s">
        <v>10</v>
      </c>
    </row>
    <row r="18" spans="1:5" ht="38.25" x14ac:dyDescent="0.25">
      <c r="A18" s="3" t="s">
        <v>11</v>
      </c>
    </row>
    <row r="19" spans="1:5" x14ac:dyDescent="0.25">
      <c r="A19" s="23"/>
    </row>
    <row r="20" spans="1:5" x14ac:dyDescent="0.25">
      <c r="A20" s="24" t="s">
        <v>12</v>
      </c>
      <c r="B20" s="3"/>
      <c r="C20" s="3"/>
      <c r="D20" s="3"/>
      <c r="E20" s="3"/>
    </row>
    <row r="21" spans="1:5" ht="25.5" x14ac:dyDescent="0.25">
      <c r="A21" s="3" t="s">
        <v>13</v>
      </c>
      <c r="B21" s="3"/>
      <c r="C21" s="3"/>
      <c r="D21" s="3"/>
      <c r="E21" s="3"/>
    </row>
    <row r="22" spans="1:5" x14ac:dyDescent="0.25">
      <c r="A22" s="3" t="s">
        <v>14</v>
      </c>
      <c r="B22" s="3"/>
      <c r="C22" s="3"/>
      <c r="D22" s="3"/>
      <c r="E22" s="3"/>
    </row>
    <row r="23" spans="1:5" x14ac:dyDescent="0.25">
      <c r="A23" s="3" t="s">
        <v>15</v>
      </c>
      <c r="B23" s="3"/>
      <c r="C23" s="3"/>
      <c r="D23" s="3"/>
      <c r="E23" s="3"/>
    </row>
    <row r="24" spans="1:5" ht="11.25" customHeight="1" x14ac:dyDescent="0.25"/>
    <row r="25" spans="1:5" ht="21.95" customHeight="1" x14ac:dyDescent="0.25">
      <c r="A25" s="1" t="s">
        <v>16</v>
      </c>
    </row>
    <row r="26" spans="1:5" ht="25.5" x14ac:dyDescent="0.25">
      <c r="A26" s="3" t="s">
        <v>17</v>
      </c>
    </row>
    <row r="27" spans="1:5" ht="34.5" customHeight="1" x14ac:dyDescent="0.25">
      <c r="A27" s="3" t="s">
        <v>18</v>
      </c>
    </row>
    <row r="28" spans="1:5" ht="21.95" customHeight="1" x14ac:dyDescent="0.25">
      <c r="A28" s="20" t="s">
        <v>19</v>
      </c>
    </row>
    <row r="29" spans="1:5" ht="25.5" x14ac:dyDescent="0.25">
      <c r="A29" s="3" t="s">
        <v>20</v>
      </c>
    </row>
    <row r="33" spans="1:1" x14ac:dyDescent="0.25">
      <c r="A33" s="25"/>
    </row>
  </sheetData>
  <sheetProtection algorithmName="SHA-512" hashValue="80uUfhZUgFjJoZ914vRvqEZzJX/negL7BUmutg4fY1NOW+RwDI5pbsgu4jzMrvyFP3S4lz+SDi/GeJrFD341CQ==" saltValue="Ff11y0zu/Vjw1HCFbyviWg==" spinCount="100000" sheet="1" objects="1" scenarios="1"/>
  <hyperlinks>
    <hyperlink ref="A6" r:id="rId1" xr:uid="{EB37CBA0-F96C-489F-AB87-860672FDF224}"/>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22437A-E80A-413F-AD3A-A8C2B333BB16}">
  <dimension ref="A1:W101"/>
  <sheetViews>
    <sheetView workbookViewId="0">
      <selection activeCell="G56" sqref="G56"/>
    </sheetView>
  </sheetViews>
  <sheetFormatPr defaultColWidth="8.7109375" defaultRowHeight="15" x14ac:dyDescent="0.25"/>
  <cols>
    <col min="1" max="1" width="38" style="4" customWidth="1"/>
    <col min="2" max="3" width="8.7109375" style="4"/>
    <col min="4" max="4" width="23.140625" style="4" customWidth="1"/>
    <col min="5" max="5" width="40.42578125" style="4" customWidth="1"/>
    <col min="6" max="6" width="10.5703125" style="4" customWidth="1"/>
    <col min="7" max="7" width="14" style="4" customWidth="1"/>
    <col min="8" max="8" width="125" style="4" customWidth="1"/>
    <col min="9" max="22" width="11.7109375" style="4" customWidth="1"/>
    <col min="23" max="23" width="10.140625" style="4" bestFit="1" customWidth="1"/>
    <col min="24" max="256" width="8.7109375" style="4"/>
    <col min="257" max="257" width="38" style="4" customWidth="1"/>
    <col min="258" max="259" width="8.7109375" style="4"/>
    <col min="260" max="260" width="23.140625" style="4" customWidth="1"/>
    <col min="261" max="261" width="40.42578125" style="4" customWidth="1"/>
    <col min="262" max="262" width="10.5703125" style="4" customWidth="1"/>
    <col min="263" max="263" width="14" style="4" customWidth="1"/>
    <col min="264" max="264" width="125" style="4" customWidth="1"/>
    <col min="265" max="278" width="11.7109375" style="4" customWidth="1"/>
    <col min="279" max="279" width="10.140625" style="4" bestFit="1" customWidth="1"/>
    <col min="280" max="512" width="8.7109375" style="4"/>
    <col min="513" max="513" width="38" style="4" customWidth="1"/>
    <col min="514" max="515" width="8.7109375" style="4"/>
    <col min="516" max="516" width="23.140625" style="4" customWidth="1"/>
    <col min="517" max="517" width="40.42578125" style="4" customWidth="1"/>
    <col min="518" max="518" width="10.5703125" style="4" customWidth="1"/>
    <col min="519" max="519" width="14" style="4" customWidth="1"/>
    <col min="520" max="520" width="125" style="4" customWidth="1"/>
    <col min="521" max="534" width="11.7109375" style="4" customWidth="1"/>
    <col min="535" max="535" width="10.140625" style="4" bestFit="1" customWidth="1"/>
    <col min="536" max="768" width="8.7109375" style="4"/>
    <col min="769" max="769" width="38" style="4" customWidth="1"/>
    <col min="770" max="771" width="8.7109375" style="4"/>
    <col min="772" max="772" width="23.140625" style="4" customWidth="1"/>
    <col min="773" max="773" width="40.42578125" style="4" customWidth="1"/>
    <col min="774" max="774" width="10.5703125" style="4" customWidth="1"/>
    <col min="775" max="775" width="14" style="4" customWidth="1"/>
    <col min="776" max="776" width="125" style="4" customWidth="1"/>
    <col min="777" max="790" width="11.7109375" style="4" customWidth="1"/>
    <col min="791" max="791" width="10.140625" style="4" bestFit="1" customWidth="1"/>
    <col min="792" max="1024" width="8.7109375" style="4"/>
    <col min="1025" max="1025" width="38" style="4" customWidth="1"/>
    <col min="1026" max="1027" width="8.7109375" style="4"/>
    <col min="1028" max="1028" width="23.140625" style="4" customWidth="1"/>
    <col min="1029" max="1029" width="40.42578125" style="4" customWidth="1"/>
    <col min="1030" max="1030" width="10.5703125" style="4" customWidth="1"/>
    <col min="1031" max="1031" width="14" style="4" customWidth="1"/>
    <col min="1032" max="1032" width="125" style="4" customWidth="1"/>
    <col min="1033" max="1046" width="11.7109375" style="4" customWidth="1"/>
    <col min="1047" max="1047" width="10.140625" style="4" bestFit="1" customWidth="1"/>
    <col min="1048" max="1280" width="8.7109375" style="4"/>
    <col min="1281" max="1281" width="38" style="4" customWidth="1"/>
    <col min="1282" max="1283" width="8.7109375" style="4"/>
    <col min="1284" max="1284" width="23.140625" style="4" customWidth="1"/>
    <col min="1285" max="1285" width="40.42578125" style="4" customWidth="1"/>
    <col min="1286" max="1286" width="10.5703125" style="4" customWidth="1"/>
    <col min="1287" max="1287" width="14" style="4" customWidth="1"/>
    <col min="1288" max="1288" width="125" style="4" customWidth="1"/>
    <col min="1289" max="1302" width="11.7109375" style="4" customWidth="1"/>
    <col min="1303" max="1303" width="10.140625" style="4" bestFit="1" customWidth="1"/>
    <col min="1304" max="1536" width="8.7109375" style="4"/>
    <col min="1537" max="1537" width="38" style="4" customWidth="1"/>
    <col min="1538" max="1539" width="8.7109375" style="4"/>
    <col min="1540" max="1540" width="23.140625" style="4" customWidth="1"/>
    <col min="1541" max="1541" width="40.42578125" style="4" customWidth="1"/>
    <col min="1542" max="1542" width="10.5703125" style="4" customWidth="1"/>
    <col min="1543" max="1543" width="14" style="4" customWidth="1"/>
    <col min="1544" max="1544" width="125" style="4" customWidth="1"/>
    <col min="1545" max="1558" width="11.7109375" style="4" customWidth="1"/>
    <col min="1559" max="1559" width="10.140625" style="4" bestFit="1" customWidth="1"/>
    <col min="1560" max="1792" width="8.7109375" style="4"/>
    <col min="1793" max="1793" width="38" style="4" customWidth="1"/>
    <col min="1794" max="1795" width="8.7109375" style="4"/>
    <col min="1796" max="1796" width="23.140625" style="4" customWidth="1"/>
    <col min="1797" max="1797" width="40.42578125" style="4" customWidth="1"/>
    <col min="1798" max="1798" width="10.5703125" style="4" customWidth="1"/>
    <col min="1799" max="1799" width="14" style="4" customWidth="1"/>
    <col min="1800" max="1800" width="125" style="4" customWidth="1"/>
    <col min="1801" max="1814" width="11.7109375" style="4" customWidth="1"/>
    <col min="1815" max="1815" width="10.140625" style="4" bestFit="1" customWidth="1"/>
    <col min="1816" max="2048" width="8.7109375" style="4"/>
    <col min="2049" max="2049" width="38" style="4" customWidth="1"/>
    <col min="2050" max="2051" width="8.7109375" style="4"/>
    <col min="2052" max="2052" width="23.140625" style="4" customWidth="1"/>
    <col min="2053" max="2053" width="40.42578125" style="4" customWidth="1"/>
    <col min="2054" max="2054" width="10.5703125" style="4" customWidth="1"/>
    <col min="2055" max="2055" width="14" style="4" customWidth="1"/>
    <col min="2056" max="2056" width="125" style="4" customWidth="1"/>
    <col min="2057" max="2070" width="11.7109375" style="4" customWidth="1"/>
    <col min="2071" max="2071" width="10.140625" style="4" bestFit="1" customWidth="1"/>
    <col min="2072" max="2304" width="8.7109375" style="4"/>
    <col min="2305" max="2305" width="38" style="4" customWidth="1"/>
    <col min="2306" max="2307" width="8.7109375" style="4"/>
    <col min="2308" max="2308" width="23.140625" style="4" customWidth="1"/>
    <col min="2309" max="2309" width="40.42578125" style="4" customWidth="1"/>
    <col min="2310" max="2310" width="10.5703125" style="4" customWidth="1"/>
    <col min="2311" max="2311" width="14" style="4" customWidth="1"/>
    <col min="2312" max="2312" width="125" style="4" customWidth="1"/>
    <col min="2313" max="2326" width="11.7109375" style="4" customWidth="1"/>
    <col min="2327" max="2327" width="10.140625" style="4" bestFit="1" customWidth="1"/>
    <col min="2328" max="2560" width="8.7109375" style="4"/>
    <col min="2561" max="2561" width="38" style="4" customWidth="1"/>
    <col min="2562" max="2563" width="8.7109375" style="4"/>
    <col min="2564" max="2564" width="23.140625" style="4" customWidth="1"/>
    <col min="2565" max="2565" width="40.42578125" style="4" customWidth="1"/>
    <col min="2566" max="2566" width="10.5703125" style="4" customWidth="1"/>
    <col min="2567" max="2567" width="14" style="4" customWidth="1"/>
    <col min="2568" max="2568" width="125" style="4" customWidth="1"/>
    <col min="2569" max="2582" width="11.7109375" style="4" customWidth="1"/>
    <col min="2583" max="2583" width="10.140625" style="4" bestFit="1" customWidth="1"/>
    <col min="2584" max="2816" width="8.7109375" style="4"/>
    <col min="2817" max="2817" width="38" style="4" customWidth="1"/>
    <col min="2818" max="2819" width="8.7109375" style="4"/>
    <col min="2820" max="2820" width="23.140625" style="4" customWidth="1"/>
    <col min="2821" max="2821" width="40.42578125" style="4" customWidth="1"/>
    <col min="2822" max="2822" width="10.5703125" style="4" customWidth="1"/>
    <col min="2823" max="2823" width="14" style="4" customWidth="1"/>
    <col min="2824" max="2824" width="125" style="4" customWidth="1"/>
    <col min="2825" max="2838" width="11.7109375" style="4" customWidth="1"/>
    <col min="2839" max="2839" width="10.140625" style="4" bestFit="1" customWidth="1"/>
    <col min="2840" max="3072" width="8.7109375" style="4"/>
    <col min="3073" max="3073" width="38" style="4" customWidth="1"/>
    <col min="3074" max="3075" width="8.7109375" style="4"/>
    <col min="3076" max="3076" width="23.140625" style="4" customWidth="1"/>
    <col min="3077" max="3077" width="40.42578125" style="4" customWidth="1"/>
    <col min="3078" max="3078" width="10.5703125" style="4" customWidth="1"/>
    <col min="3079" max="3079" width="14" style="4" customWidth="1"/>
    <col min="3080" max="3080" width="125" style="4" customWidth="1"/>
    <col min="3081" max="3094" width="11.7109375" style="4" customWidth="1"/>
    <col min="3095" max="3095" width="10.140625" style="4" bestFit="1" customWidth="1"/>
    <col min="3096" max="3328" width="8.7109375" style="4"/>
    <col min="3329" max="3329" width="38" style="4" customWidth="1"/>
    <col min="3330" max="3331" width="8.7109375" style="4"/>
    <col min="3332" max="3332" width="23.140625" style="4" customWidth="1"/>
    <col min="3333" max="3333" width="40.42578125" style="4" customWidth="1"/>
    <col min="3334" max="3334" width="10.5703125" style="4" customWidth="1"/>
    <col min="3335" max="3335" width="14" style="4" customWidth="1"/>
    <col min="3336" max="3336" width="125" style="4" customWidth="1"/>
    <col min="3337" max="3350" width="11.7109375" style="4" customWidth="1"/>
    <col min="3351" max="3351" width="10.140625" style="4" bestFit="1" customWidth="1"/>
    <col min="3352" max="3584" width="8.7109375" style="4"/>
    <col min="3585" max="3585" width="38" style="4" customWidth="1"/>
    <col min="3586" max="3587" width="8.7109375" style="4"/>
    <col min="3588" max="3588" width="23.140625" style="4" customWidth="1"/>
    <col min="3589" max="3589" width="40.42578125" style="4" customWidth="1"/>
    <col min="3590" max="3590" width="10.5703125" style="4" customWidth="1"/>
    <col min="3591" max="3591" width="14" style="4" customWidth="1"/>
    <col min="3592" max="3592" width="125" style="4" customWidth="1"/>
    <col min="3593" max="3606" width="11.7109375" style="4" customWidth="1"/>
    <col min="3607" max="3607" width="10.140625" style="4" bestFit="1" customWidth="1"/>
    <col min="3608" max="3840" width="8.7109375" style="4"/>
    <col min="3841" max="3841" width="38" style="4" customWidth="1"/>
    <col min="3842" max="3843" width="8.7109375" style="4"/>
    <col min="3844" max="3844" width="23.140625" style="4" customWidth="1"/>
    <col min="3845" max="3845" width="40.42578125" style="4" customWidth="1"/>
    <col min="3846" max="3846" width="10.5703125" style="4" customWidth="1"/>
    <col min="3847" max="3847" width="14" style="4" customWidth="1"/>
    <col min="3848" max="3848" width="125" style="4" customWidth="1"/>
    <col min="3849" max="3862" width="11.7109375" style="4" customWidth="1"/>
    <col min="3863" max="3863" width="10.140625" style="4" bestFit="1" customWidth="1"/>
    <col min="3864" max="4096" width="8.7109375" style="4"/>
    <col min="4097" max="4097" width="38" style="4" customWidth="1"/>
    <col min="4098" max="4099" width="8.7109375" style="4"/>
    <col min="4100" max="4100" width="23.140625" style="4" customWidth="1"/>
    <col min="4101" max="4101" width="40.42578125" style="4" customWidth="1"/>
    <col min="4102" max="4102" width="10.5703125" style="4" customWidth="1"/>
    <col min="4103" max="4103" width="14" style="4" customWidth="1"/>
    <col min="4104" max="4104" width="125" style="4" customWidth="1"/>
    <col min="4105" max="4118" width="11.7109375" style="4" customWidth="1"/>
    <col min="4119" max="4119" width="10.140625" style="4" bestFit="1" customWidth="1"/>
    <col min="4120" max="4352" width="8.7109375" style="4"/>
    <col min="4353" max="4353" width="38" style="4" customWidth="1"/>
    <col min="4354" max="4355" width="8.7109375" style="4"/>
    <col min="4356" max="4356" width="23.140625" style="4" customWidth="1"/>
    <col min="4357" max="4357" width="40.42578125" style="4" customWidth="1"/>
    <col min="4358" max="4358" width="10.5703125" style="4" customWidth="1"/>
    <col min="4359" max="4359" width="14" style="4" customWidth="1"/>
    <col min="4360" max="4360" width="125" style="4" customWidth="1"/>
    <col min="4361" max="4374" width="11.7109375" style="4" customWidth="1"/>
    <col min="4375" max="4375" width="10.140625" style="4" bestFit="1" customWidth="1"/>
    <col min="4376" max="4608" width="8.7109375" style="4"/>
    <col min="4609" max="4609" width="38" style="4" customWidth="1"/>
    <col min="4610" max="4611" width="8.7109375" style="4"/>
    <col min="4612" max="4612" width="23.140625" style="4" customWidth="1"/>
    <col min="4613" max="4613" width="40.42578125" style="4" customWidth="1"/>
    <col min="4614" max="4614" width="10.5703125" style="4" customWidth="1"/>
    <col min="4615" max="4615" width="14" style="4" customWidth="1"/>
    <col min="4616" max="4616" width="125" style="4" customWidth="1"/>
    <col min="4617" max="4630" width="11.7109375" style="4" customWidth="1"/>
    <col min="4631" max="4631" width="10.140625" style="4" bestFit="1" customWidth="1"/>
    <col min="4632" max="4864" width="8.7109375" style="4"/>
    <col min="4865" max="4865" width="38" style="4" customWidth="1"/>
    <col min="4866" max="4867" width="8.7109375" style="4"/>
    <col min="4868" max="4868" width="23.140625" style="4" customWidth="1"/>
    <col min="4869" max="4869" width="40.42578125" style="4" customWidth="1"/>
    <col min="4870" max="4870" width="10.5703125" style="4" customWidth="1"/>
    <col min="4871" max="4871" width="14" style="4" customWidth="1"/>
    <col min="4872" max="4872" width="125" style="4" customWidth="1"/>
    <col min="4873" max="4886" width="11.7109375" style="4" customWidth="1"/>
    <col min="4887" max="4887" width="10.140625" style="4" bestFit="1" customWidth="1"/>
    <col min="4888" max="5120" width="8.7109375" style="4"/>
    <col min="5121" max="5121" width="38" style="4" customWidth="1"/>
    <col min="5122" max="5123" width="8.7109375" style="4"/>
    <col min="5124" max="5124" width="23.140625" style="4" customWidth="1"/>
    <col min="5125" max="5125" width="40.42578125" style="4" customWidth="1"/>
    <col min="5126" max="5126" width="10.5703125" style="4" customWidth="1"/>
    <col min="5127" max="5127" width="14" style="4" customWidth="1"/>
    <col min="5128" max="5128" width="125" style="4" customWidth="1"/>
    <col min="5129" max="5142" width="11.7109375" style="4" customWidth="1"/>
    <col min="5143" max="5143" width="10.140625" style="4" bestFit="1" customWidth="1"/>
    <col min="5144" max="5376" width="8.7109375" style="4"/>
    <col min="5377" max="5377" width="38" style="4" customWidth="1"/>
    <col min="5378" max="5379" width="8.7109375" style="4"/>
    <col min="5380" max="5380" width="23.140625" style="4" customWidth="1"/>
    <col min="5381" max="5381" width="40.42578125" style="4" customWidth="1"/>
    <col min="5382" max="5382" width="10.5703125" style="4" customWidth="1"/>
    <col min="5383" max="5383" width="14" style="4" customWidth="1"/>
    <col min="5384" max="5384" width="125" style="4" customWidth="1"/>
    <col min="5385" max="5398" width="11.7109375" style="4" customWidth="1"/>
    <col min="5399" max="5399" width="10.140625" style="4" bestFit="1" customWidth="1"/>
    <col min="5400" max="5632" width="8.7109375" style="4"/>
    <col min="5633" max="5633" width="38" style="4" customWidth="1"/>
    <col min="5634" max="5635" width="8.7109375" style="4"/>
    <col min="5636" max="5636" width="23.140625" style="4" customWidth="1"/>
    <col min="5637" max="5637" width="40.42578125" style="4" customWidth="1"/>
    <col min="5638" max="5638" width="10.5703125" style="4" customWidth="1"/>
    <col min="5639" max="5639" width="14" style="4" customWidth="1"/>
    <col min="5640" max="5640" width="125" style="4" customWidth="1"/>
    <col min="5641" max="5654" width="11.7109375" style="4" customWidth="1"/>
    <col min="5655" max="5655" width="10.140625" style="4" bestFit="1" customWidth="1"/>
    <col min="5656" max="5888" width="8.7109375" style="4"/>
    <col min="5889" max="5889" width="38" style="4" customWidth="1"/>
    <col min="5890" max="5891" width="8.7109375" style="4"/>
    <col min="5892" max="5892" width="23.140625" style="4" customWidth="1"/>
    <col min="5893" max="5893" width="40.42578125" style="4" customWidth="1"/>
    <col min="5894" max="5894" width="10.5703125" style="4" customWidth="1"/>
    <col min="5895" max="5895" width="14" style="4" customWidth="1"/>
    <col min="5896" max="5896" width="125" style="4" customWidth="1"/>
    <col min="5897" max="5910" width="11.7109375" style="4" customWidth="1"/>
    <col min="5911" max="5911" width="10.140625" style="4" bestFit="1" customWidth="1"/>
    <col min="5912" max="6144" width="8.7109375" style="4"/>
    <col min="6145" max="6145" width="38" style="4" customWidth="1"/>
    <col min="6146" max="6147" width="8.7109375" style="4"/>
    <col min="6148" max="6148" width="23.140625" style="4" customWidth="1"/>
    <col min="6149" max="6149" width="40.42578125" style="4" customWidth="1"/>
    <col min="6150" max="6150" width="10.5703125" style="4" customWidth="1"/>
    <col min="6151" max="6151" width="14" style="4" customWidth="1"/>
    <col min="6152" max="6152" width="125" style="4" customWidth="1"/>
    <col min="6153" max="6166" width="11.7109375" style="4" customWidth="1"/>
    <col min="6167" max="6167" width="10.140625" style="4" bestFit="1" customWidth="1"/>
    <col min="6168" max="6400" width="8.7109375" style="4"/>
    <col min="6401" max="6401" width="38" style="4" customWidth="1"/>
    <col min="6402" max="6403" width="8.7109375" style="4"/>
    <col min="6404" max="6404" width="23.140625" style="4" customWidth="1"/>
    <col min="6405" max="6405" width="40.42578125" style="4" customWidth="1"/>
    <col min="6406" max="6406" width="10.5703125" style="4" customWidth="1"/>
    <col min="6407" max="6407" width="14" style="4" customWidth="1"/>
    <col min="6408" max="6408" width="125" style="4" customWidth="1"/>
    <col min="6409" max="6422" width="11.7109375" style="4" customWidth="1"/>
    <col min="6423" max="6423" width="10.140625" style="4" bestFit="1" customWidth="1"/>
    <col min="6424" max="6656" width="8.7109375" style="4"/>
    <col min="6657" max="6657" width="38" style="4" customWidth="1"/>
    <col min="6658" max="6659" width="8.7109375" style="4"/>
    <col min="6660" max="6660" width="23.140625" style="4" customWidth="1"/>
    <col min="6661" max="6661" width="40.42578125" style="4" customWidth="1"/>
    <col min="6662" max="6662" width="10.5703125" style="4" customWidth="1"/>
    <col min="6663" max="6663" width="14" style="4" customWidth="1"/>
    <col min="6664" max="6664" width="125" style="4" customWidth="1"/>
    <col min="6665" max="6678" width="11.7109375" style="4" customWidth="1"/>
    <col min="6679" max="6679" width="10.140625" style="4" bestFit="1" customWidth="1"/>
    <col min="6680" max="6912" width="8.7109375" style="4"/>
    <col min="6913" max="6913" width="38" style="4" customWidth="1"/>
    <col min="6914" max="6915" width="8.7109375" style="4"/>
    <col min="6916" max="6916" width="23.140625" style="4" customWidth="1"/>
    <col min="6917" max="6917" width="40.42578125" style="4" customWidth="1"/>
    <col min="6918" max="6918" width="10.5703125" style="4" customWidth="1"/>
    <col min="6919" max="6919" width="14" style="4" customWidth="1"/>
    <col min="6920" max="6920" width="125" style="4" customWidth="1"/>
    <col min="6921" max="6934" width="11.7109375" style="4" customWidth="1"/>
    <col min="6935" max="6935" width="10.140625" style="4" bestFit="1" customWidth="1"/>
    <col min="6936" max="7168" width="8.7109375" style="4"/>
    <col min="7169" max="7169" width="38" style="4" customWidth="1"/>
    <col min="7170" max="7171" width="8.7109375" style="4"/>
    <col min="7172" max="7172" width="23.140625" style="4" customWidth="1"/>
    <col min="7173" max="7173" width="40.42578125" style="4" customWidth="1"/>
    <col min="7174" max="7174" width="10.5703125" style="4" customWidth="1"/>
    <col min="7175" max="7175" width="14" style="4" customWidth="1"/>
    <col min="7176" max="7176" width="125" style="4" customWidth="1"/>
    <col min="7177" max="7190" width="11.7109375" style="4" customWidth="1"/>
    <col min="7191" max="7191" width="10.140625" style="4" bestFit="1" customWidth="1"/>
    <col min="7192" max="7424" width="8.7109375" style="4"/>
    <col min="7425" max="7425" width="38" style="4" customWidth="1"/>
    <col min="7426" max="7427" width="8.7109375" style="4"/>
    <col min="7428" max="7428" width="23.140625" style="4" customWidth="1"/>
    <col min="7429" max="7429" width="40.42578125" style="4" customWidth="1"/>
    <col min="7430" max="7430" width="10.5703125" style="4" customWidth="1"/>
    <col min="7431" max="7431" width="14" style="4" customWidth="1"/>
    <col min="7432" max="7432" width="125" style="4" customWidth="1"/>
    <col min="7433" max="7446" width="11.7109375" style="4" customWidth="1"/>
    <col min="7447" max="7447" width="10.140625" style="4" bestFit="1" customWidth="1"/>
    <col min="7448" max="7680" width="8.7109375" style="4"/>
    <col min="7681" max="7681" width="38" style="4" customWidth="1"/>
    <col min="7682" max="7683" width="8.7109375" style="4"/>
    <col min="7684" max="7684" width="23.140625" style="4" customWidth="1"/>
    <col min="7685" max="7685" width="40.42578125" style="4" customWidth="1"/>
    <col min="7686" max="7686" width="10.5703125" style="4" customWidth="1"/>
    <col min="7687" max="7687" width="14" style="4" customWidth="1"/>
    <col min="7688" max="7688" width="125" style="4" customWidth="1"/>
    <col min="7689" max="7702" width="11.7109375" style="4" customWidth="1"/>
    <col min="7703" max="7703" width="10.140625" style="4" bestFit="1" customWidth="1"/>
    <col min="7704" max="7936" width="8.7109375" style="4"/>
    <col min="7937" max="7937" width="38" style="4" customWidth="1"/>
    <col min="7938" max="7939" width="8.7109375" style="4"/>
    <col min="7940" max="7940" width="23.140625" style="4" customWidth="1"/>
    <col min="7941" max="7941" width="40.42578125" style="4" customWidth="1"/>
    <col min="7942" max="7942" width="10.5703125" style="4" customWidth="1"/>
    <col min="7943" max="7943" width="14" style="4" customWidth="1"/>
    <col min="7944" max="7944" width="125" style="4" customWidth="1"/>
    <col min="7945" max="7958" width="11.7109375" style="4" customWidth="1"/>
    <col min="7959" max="7959" width="10.140625" style="4" bestFit="1" customWidth="1"/>
    <col min="7960" max="8192" width="8.7109375" style="4"/>
    <col min="8193" max="8193" width="38" style="4" customWidth="1"/>
    <col min="8194" max="8195" width="8.7109375" style="4"/>
    <col min="8196" max="8196" width="23.140625" style="4" customWidth="1"/>
    <col min="8197" max="8197" width="40.42578125" style="4" customWidth="1"/>
    <col min="8198" max="8198" width="10.5703125" style="4" customWidth="1"/>
    <col min="8199" max="8199" width="14" style="4" customWidth="1"/>
    <col min="8200" max="8200" width="125" style="4" customWidth="1"/>
    <col min="8201" max="8214" width="11.7109375" style="4" customWidth="1"/>
    <col min="8215" max="8215" width="10.140625" style="4" bestFit="1" customWidth="1"/>
    <col min="8216" max="8448" width="8.7109375" style="4"/>
    <col min="8449" max="8449" width="38" style="4" customWidth="1"/>
    <col min="8450" max="8451" width="8.7109375" style="4"/>
    <col min="8452" max="8452" width="23.140625" style="4" customWidth="1"/>
    <col min="8453" max="8453" width="40.42578125" style="4" customWidth="1"/>
    <col min="8454" max="8454" width="10.5703125" style="4" customWidth="1"/>
    <col min="8455" max="8455" width="14" style="4" customWidth="1"/>
    <col min="8456" max="8456" width="125" style="4" customWidth="1"/>
    <col min="8457" max="8470" width="11.7109375" style="4" customWidth="1"/>
    <col min="8471" max="8471" width="10.140625" style="4" bestFit="1" customWidth="1"/>
    <col min="8472" max="8704" width="8.7109375" style="4"/>
    <col min="8705" max="8705" width="38" style="4" customWidth="1"/>
    <col min="8706" max="8707" width="8.7109375" style="4"/>
    <col min="8708" max="8708" width="23.140625" style="4" customWidth="1"/>
    <col min="8709" max="8709" width="40.42578125" style="4" customWidth="1"/>
    <col min="8710" max="8710" width="10.5703125" style="4" customWidth="1"/>
    <col min="8711" max="8711" width="14" style="4" customWidth="1"/>
    <col min="8712" max="8712" width="125" style="4" customWidth="1"/>
    <col min="8713" max="8726" width="11.7109375" style="4" customWidth="1"/>
    <col min="8727" max="8727" width="10.140625" style="4" bestFit="1" customWidth="1"/>
    <col min="8728" max="8960" width="8.7109375" style="4"/>
    <col min="8961" max="8961" width="38" style="4" customWidth="1"/>
    <col min="8962" max="8963" width="8.7109375" style="4"/>
    <col min="8964" max="8964" width="23.140625" style="4" customWidth="1"/>
    <col min="8965" max="8965" width="40.42578125" style="4" customWidth="1"/>
    <col min="8966" max="8966" width="10.5703125" style="4" customWidth="1"/>
    <col min="8967" max="8967" width="14" style="4" customWidth="1"/>
    <col min="8968" max="8968" width="125" style="4" customWidth="1"/>
    <col min="8969" max="8982" width="11.7109375" style="4" customWidth="1"/>
    <col min="8983" max="8983" width="10.140625" style="4" bestFit="1" customWidth="1"/>
    <col min="8984" max="9216" width="8.7109375" style="4"/>
    <col min="9217" max="9217" width="38" style="4" customWidth="1"/>
    <col min="9218" max="9219" width="8.7109375" style="4"/>
    <col min="9220" max="9220" width="23.140625" style="4" customWidth="1"/>
    <col min="9221" max="9221" width="40.42578125" style="4" customWidth="1"/>
    <col min="9222" max="9222" width="10.5703125" style="4" customWidth="1"/>
    <col min="9223" max="9223" width="14" style="4" customWidth="1"/>
    <col min="9224" max="9224" width="125" style="4" customWidth="1"/>
    <col min="9225" max="9238" width="11.7109375" style="4" customWidth="1"/>
    <col min="9239" max="9239" width="10.140625" style="4" bestFit="1" customWidth="1"/>
    <col min="9240" max="9472" width="8.7109375" style="4"/>
    <col min="9473" max="9473" width="38" style="4" customWidth="1"/>
    <col min="9474" max="9475" width="8.7109375" style="4"/>
    <col min="9476" max="9476" width="23.140625" style="4" customWidth="1"/>
    <col min="9477" max="9477" width="40.42578125" style="4" customWidth="1"/>
    <col min="9478" max="9478" width="10.5703125" style="4" customWidth="1"/>
    <col min="9479" max="9479" width="14" style="4" customWidth="1"/>
    <col min="9480" max="9480" width="125" style="4" customWidth="1"/>
    <col min="9481" max="9494" width="11.7109375" style="4" customWidth="1"/>
    <col min="9495" max="9495" width="10.140625" style="4" bestFit="1" customWidth="1"/>
    <col min="9496" max="9728" width="8.7109375" style="4"/>
    <col min="9729" max="9729" width="38" style="4" customWidth="1"/>
    <col min="9730" max="9731" width="8.7109375" style="4"/>
    <col min="9732" max="9732" width="23.140625" style="4" customWidth="1"/>
    <col min="9733" max="9733" width="40.42578125" style="4" customWidth="1"/>
    <col min="9734" max="9734" width="10.5703125" style="4" customWidth="1"/>
    <col min="9735" max="9735" width="14" style="4" customWidth="1"/>
    <col min="9736" max="9736" width="125" style="4" customWidth="1"/>
    <col min="9737" max="9750" width="11.7109375" style="4" customWidth="1"/>
    <col min="9751" max="9751" width="10.140625" style="4" bestFit="1" customWidth="1"/>
    <col min="9752" max="9984" width="8.7109375" style="4"/>
    <col min="9985" max="9985" width="38" style="4" customWidth="1"/>
    <col min="9986" max="9987" width="8.7109375" style="4"/>
    <col min="9988" max="9988" width="23.140625" style="4" customWidth="1"/>
    <col min="9989" max="9989" width="40.42578125" style="4" customWidth="1"/>
    <col min="9990" max="9990" width="10.5703125" style="4" customWidth="1"/>
    <col min="9991" max="9991" width="14" style="4" customWidth="1"/>
    <col min="9992" max="9992" width="125" style="4" customWidth="1"/>
    <col min="9993" max="10006" width="11.7109375" style="4" customWidth="1"/>
    <col min="10007" max="10007" width="10.140625" style="4" bestFit="1" customWidth="1"/>
    <col min="10008" max="10240" width="8.7109375" style="4"/>
    <col min="10241" max="10241" width="38" style="4" customWidth="1"/>
    <col min="10242" max="10243" width="8.7109375" style="4"/>
    <col min="10244" max="10244" width="23.140625" style="4" customWidth="1"/>
    <col min="10245" max="10245" width="40.42578125" style="4" customWidth="1"/>
    <col min="10246" max="10246" width="10.5703125" style="4" customWidth="1"/>
    <col min="10247" max="10247" width="14" style="4" customWidth="1"/>
    <col min="10248" max="10248" width="125" style="4" customWidth="1"/>
    <col min="10249" max="10262" width="11.7109375" style="4" customWidth="1"/>
    <col min="10263" max="10263" width="10.140625" style="4" bestFit="1" customWidth="1"/>
    <col min="10264" max="10496" width="8.7109375" style="4"/>
    <col min="10497" max="10497" width="38" style="4" customWidth="1"/>
    <col min="10498" max="10499" width="8.7109375" style="4"/>
    <col min="10500" max="10500" width="23.140625" style="4" customWidth="1"/>
    <col min="10501" max="10501" width="40.42578125" style="4" customWidth="1"/>
    <col min="10502" max="10502" width="10.5703125" style="4" customWidth="1"/>
    <col min="10503" max="10503" width="14" style="4" customWidth="1"/>
    <col min="10504" max="10504" width="125" style="4" customWidth="1"/>
    <col min="10505" max="10518" width="11.7109375" style="4" customWidth="1"/>
    <col min="10519" max="10519" width="10.140625" style="4" bestFit="1" customWidth="1"/>
    <col min="10520" max="10752" width="8.7109375" style="4"/>
    <col min="10753" max="10753" width="38" style="4" customWidth="1"/>
    <col min="10754" max="10755" width="8.7109375" style="4"/>
    <col min="10756" max="10756" width="23.140625" style="4" customWidth="1"/>
    <col min="10757" max="10757" width="40.42578125" style="4" customWidth="1"/>
    <col min="10758" max="10758" width="10.5703125" style="4" customWidth="1"/>
    <col min="10759" max="10759" width="14" style="4" customWidth="1"/>
    <col min="10760" max="10760" width="125" style="4" customWidth="1"/>
    <col min="10761" max="10774" width="11.7109375" style="4" customWidth="1"/>
    <col min="10775" max="10775" width="10.140625" style="4" bestFit="1" customWidth="1"/>
    <col min="10776" max="11008" width="8.7109375" style="4"/>
    <col min="11009" max="11009" width="38" style="4" customWidth="1"/>
    <col min="11010" max="11011" width="8.7109375" style="4"/>
    <col min="11012" max="11012" width="23.140625" style="4" customWidth="1"/>
    <col min="11013" max="11013" width="40.42578125" style="4" customWidth="1"/>
    <col min="11014" max="11014" width="10.5703125" style="4" customWidth="1"/>
    <col min="11015" max="11015" width="14" style="4" customWidth="1"/>
    <col min="11016" max="11016" width="125" style="4" customWidth="1"/>
    <col min="11017" max="11030" width="11.7109375" style="4" customWidth="1"/>
    <col min="11031" max="11031" width="10.140625" style="4" bestFit="1" customWidth="1"/>
    <col min="11032" max="11264" width="8.7109375" style="4"/>
    <col min="11265" max="11265" width="38" style="4" customWidth="1"/>
    <col min="11266" max="11267" width="8.7109375" style="4"/>
    <col min="11268" max="11268" width="23.140625" style="4" customWidth="1"/>
    <col min="11269" max="11269" width="40.42578125" style="4" customWidth="1"/>
    <col min="11270" max="11270" width="10.5703125" style="4" customWidth="1"/>
    <col min="11271" max="11271" width="14" style="4" customWidth="1"/>
    <col min="11272" max="11272" width="125" style="4" customWidth="1"/>
    <col min="11273" max="11286" width="11.7109375" style="4" customWidth="1"/>
    <col min="11287" max="11287" width="10.140625" style="4" bestFit="1" customWidth="1"/>
    <col min="11288" max="11520" width="8.7109375" style="4"/>
    <col min="11521" max="11521" width="38" style="4" customWidth="1"/>
    <col min="11522" max="11523" width="8.7109375" style="4"/>
    <col min="11524" max="11524" width="23.140625" style="4" customWidth="1"/>
    <col min="11525" max="11525" width="40.42578125" style="4" customWidth="1"/>
    <col min="11526" max="11526" width="10.5703125" style="4" customWidth="1"/>
    <col min="11527" max="11527" width="14" style="4" customWidth="1"/>
    <col min="11528" max="11528" width="125" style="4" customWidth="1"/>
    <col min="11529" max="11542" width="11.7109375" style="4" customWidth="1"/>
    <col min="11543" max="11543" width="10.140625" style="4" bestFit="1" customWidth="1"/>
    <col min="11544" max="11776" width="8.7109375" style="4"/>
    <col min="11777" max="11777" width="38" style="4" customWidth="1"/>
    <col min="11778" max="11779" width="8.7109375" style="4"/>
    <col min="11780" max="11780" width="23.140625" style="4" customWidth="1"/>
    <col min="11781" max="11781" width="40.42578125" style="4" customWidth="1"/>
    <col min="11782" max="11782" width="10.5703125" style="4" customWidth="1"/>
    <col min="11783" max="11783" width="14" style="4" customWidth="1"/>
    <col min="11784" max="11784" width="125" style="4" customWidth="1"/>
    <col min="11785" max="11798" width="11.7109375" style="4" customWidth="1"/>
    <col min="11799" max="11799" width="10.140625" style="4" bestFit="1" customWidth="1"/>
    <col min="11800" max="12032" width="8.7109375" style="4"/>
    <col min="12033" max="12033" width="38" style="4" customWidth="1"/>
    <col min="12034" max="12035" width="8.7109375" style="4"/>
    <col min="12036" max="12036" width="23.140625" style="4" customWidth="1"/>
    <col min="12037" max="12037" width="40.42578125" style="4" customWidth="1"/>
    <col min="12038" max="12038" width="10.5703125" style="4" customWidth="1"/>
    <col min="12039" max="12039" width="14" style="4" customWidth="1"/>
    <col min="12040" max="12040" width="125" style="4" customWidth="1"/>
    <col min="12041" max="12054" width="11.7109375" style="4" customWidth="1"/>
    <col min="12055" max="12055" width="10.140625" style="4" bestFit="1" customWidth="1"/>
    <col min="12056" max="12288" width="8.7109375" style="4"/>
    <col min="12289" max="12289" width="38" style="4" customWidth="1"/>
    <col min="12290" max="12291" width="8.7109375" style="4"/>
    <col min="12292" max="12292" width="23.140625" style="4" customWidth="1"/>
    <col min="12293" max="12293" width="40.42578125" style="4" customWidth="1"/>
    <col min="12294" max="12294" width="10.5703125" style="4" customWidth="1"/>
    <col min="12295" max="12295" width="14" style="4" customWidth="1"/>
    <col min="12296" max="12296" width="125" style="4" customWidth="1"/>
    <col min="12297" max="12310" width="11.7109375" style="4" customWidth="1"/>
    <col min="12311" max="12311" width="10.140625" style="4" bestFit="1" customWidth="1"/>
    <col min="12312" max="12544" width="8.7109375" style="4"/>
    <col min="12545" max="12545" width="38" style="4" customWidth="1"/>
    <col min="12546" max="12547" width="8.7109375" style="4"/>
    <col min="12548" max="12548" width="23.140625" style="4" customWidth="1"/>
    <col min="12549" max="12549" width="40.42578125" style="4" customWidth="1"/>
    <col min="12550" max="12550" width="10.5703125" style="4" customWidth="1"/>
    <col min="12551" max="12551" width="14" style="4" customWidth="1"/>
    <col min="12552" max="12552" width="125" style="4" customWidth="1"/>
    <col min="12553" max="12566" width="11.7109375" style="4" customWidth="1"/>
    <col min="12567" max="12567" width="10.140625" style="4" bestFit="1" customWidth="1"/>
    <col min="12568" max="12800" width="8.7109375" style="4"/>
    <col min="12801" max="12801" width="38" style="4" customWidth="1"/>
    <col min="12802" max="12803" width="8.7109375" style="4"/>
    <col min="12804" max="12804" width="23.140625" style="4" customWidth="1"/>
    <col min="12805" max="12805" width="40.42578125" style="4" customWidth="1"/>
    <col min="12806" max="12806" width="10.5703125" style="4" customWidth="1"/>
    <col min="12807" max="12807" width="14" style="4" customWidth="1"/>
    <col min="12808" max="12808" width="125" style="4" customWidth="1"/>
    <col min="12809" max="12822" width="11.7109375" style="4" customWidth="1"/>
    <col min="12823" max="12823" width="10.140625" style="4" bestFit="1" customWidth="1"/>
    <col min="12824" max="13056" width="8.7109375" style="4"/>
    <col min="13057" max="13057" width="38" style="4" customWidth="1"/>
    <col min="13058" max="13059" width="8.7109375" style="4"/>
    <col min="13060" max="13060" width="23.140625" style="4" customWidth="1"/>
    <col min="13061" max="13061" width="40.42578125" style="4" customWidth="1"/>
    <col min="13062" max="13062" width="10.5703125" style="4" customWidth="1"/>
    <col min="13063" max="13063" width="14" style="4" customWidth="1"/>
    <col min="13064" max="13064" width="125" style="4" customWidth="1"/>
    <col min="13065" max="13078" width="11.7109375" style="4" customWidth="1"/>
    <col min="13079" max="13079" width="10.140625" style="4" bestFit="1" customWidth="1"/>
    <col min="13080" max="13312" width="8.7109375" style="4"/>
    <col min="13313" max="13313" width="38" style="4" customWidth="1"/>
    <col min="13314" max="13315" width="8.7109375" style="4"/>
    <col min="13316" max="13316" width="23.140625" style="4" customWidth="1"/>
    <col min="13317" max="13317" width="40.42578125" style="4" customWidth="1"/>
    <col min="13318" max="13318" width="10.5703125" style="4" customWidth="1"/>
    <col min="13319" max="13319" width="14" style="4" customWidth="1"/>
    <col min="13320" max="13320" width="125" style="4" customWidth="1"/>
    <col min="13321" max="13334" width="11.7109375" style="4" customWidth="1"/>
    <col min="13335" max="13335" width="10.140625" style="4" bestFit="1" customWidth="1"/>
    <col min="13336" max="13568" width="8.7109375" style="4"/>
    <col min="13569" max="13569" width="38" style="4" customWidth="1"/>
    <col min="13570" max="13571" width="8.7109375" style="4"/>
    <col min="13572" max="13572" width="23.140625" style="4" customWidth="1"/>
    <col min="13573" max="13573" width="40.42578125" style="4" customWidth="1"/>
    <col min="13574" max="13574" width="10.5703125" style="4" customWidth="1"/>
    <col min="13575" max="13575" width="14" style="4" customWidth="1"/>
    <col min="13576" max="13576" width="125" style="4" customWidth="1"/>
    <col min="13577" max="13590" width="11.7109375" style="4" customWidth="1"/>
    <col min="13591" max="13591" width="10.140625" style="4" bestFit="1" customWidth="1"/>
    <col min="13592" max="13824" width="8.7109375" style="4"/>
    <col min="13825" max="13825" width="38" style="4" customWidth="1"/>
    <col min="13826" max="13827" width="8.7109375" style="4"/>
    <col min="13828" max="13828" width="23.140625" style="4" customWidth="1"/>
    <col min="13829" max="13829" width="40.42578125" style="4" customWidth="1"/>
    <col min="13830" max="13830" width="10.5703125" style="4" customWidth="1"/>
    <col min="13831" max="13831" width="14" style="4" customWidth="1"/>
    <col min="13832" max="13832" width="125" style="4" customWidth="1"/>
    <col min="13833" max="13846" width="11.7109375" style="4" customWidth="1"/>
    <col min="13847" max="13847" width="10.140625" style="4" bestFit="1" customWidth="1"/>
    <col min="13848" max="14080" width="8.7109375" style="4"/>
    <col min="14081" max="14081" width="38" style="4" customWidth="1"/>
    <col min="14082" max="14083" width="8.7109375" style="4"/>
    <col min="14084" max="14084" width="23.140625" style="4" customWidth="1"/>
    <col min="14085" max="14085" width="40.42578125" style="4" customWidth="1"/>
    <col min="14086" max="14086" width="10.5703125" style="4" customWidth="1"/>
    <col min="14087" max="14087" width="14" style="4" customWidth="1"/>
    <col min="14088" max="14088" width="125" style="4" customWidth="1"/>
    <col min="14089" max="14102" width="11.7109375" style="4" customWidth="1"/>
    <col min="14103" max="14103" width="10.140625" style="4" bestFit="1" customWidth="1"/>
    <col min="14104" max="14336" width="8.7109375" style="4"/>
    <col min="14337" max="14337" width="38" style="4" customWidth="1"/>
    <col min="14338" max="14339" width="8.7109375" style="4"/>
    <col min="14340" max="14340" width="23.140625" style="4" customWidth="1"/>
    <col min="14341" max="14341" width="40.42578125" style="4" customWidth="1"/>
    <col min="14342" max="14342" width="10.5703125" style="4" customWidth="1"/>
    <col min="14343" max="14343" width="14" style="4" customWidth="1"/>
    <col min="14344" max="14344" width="125" style="4" customWidth="1"/>
    <col min="14345" max="14358" width="11.7109375" style="4" customWidth="1"/>
    <col min="14359" max="14359" width="10.140625" style="4" bestFit="1" customWidth="1"/>
    <col min="14360" max="14592" width="8.7109375" style="4"/>
    <col min="14593" max="14593" width="38" style="4" customWidth="1"/>
    <col min="14594" max="14595" width="8.7109375" style="4"/>
    <col min="14596" max="14596" width="23.140625" style="4" customWidth="1"/>
    <col min="14597" max="14597" width="40.42578125" style="4" customWidth="1"/>
    <col min="14598" max="14598" width="10.5703125" style="4" customWidth="1"/>
    <col min="14599" max="14599" width="14" style="4" customWidth="1"/>
    <col min="14600" max="14600" width="125" style="4" customWidth="1"/>
    <col min="14601" max="14614" width="11.7109375" style="4" customWidth="1"/>
    <col min="14615" max="14615" width="10.140625" style="4" bestFit="1" customWidth="1"/>
    <col min="14616" max="14848" width="8.7109375" style="4"/>
    <col min="14849" max="14849" width="38" style="4" customWidth="1"/>
    <col min="14850" max="14851" width="8.7109375" style="4"/>
    <col min="14852" max="14852" width="23.140625" style="4" customWidth="1"/>
    <col min="14853" max="14853" width="40.42578125" style="4" customWidth="1"/>
    <col min="14854" max="14854" width="10.5703125" style="4" customWidth="1"/>
    <col min="14855" max="14855" width="14" style="4" customWidth="1"/>
    <col min="14856" max="14856" width="125" style="4" customWidth="1"/>
    <col min="14857" max="14870" width="11.7109375" style="4" customWidth="1"/>
    <col min="14871" max="14871" width="10.140625" style="4" bestFit="1" customWidth="1"/>
    <col min="14872" max="15104" width="8.7109375" style="4"/>
    <col min="15105" max="15105" width="38" style="4" customWidth="1"/>
    <col min="15106" max="15107" width="8.7109375" style="4"/>
    <col min="15108" max="15108" width="23.140625" style="4" customWidth="1"/>
    <col min="15109" max="15109" width="40.42578125" style="4" customWidth="1"/>
    <col min="15110" max="15110" width="10.5703125" style="4" customWidth="1"/>
    <col min="15111" max="15111" width="14" style="4" customWidth="1"/>
    <col min="15112" max="15112" width="125" style="4" customWidth="1"/>
    <col min="15113" max="15126" width="11.7109375" style="4" customWidth="1"/>
    <col min="15127" max="15127" width="10.140625" style="4" bestFit="1" customWidth="1"/>
    <col min="15128" max="15360" width="8.7109375" style="4"/>
    <col min="15361" max="15361" width="38" style="4" customWidth="1"/>
    <col min="15362" max="15363" width="8.7109375" style="4"/>
    <col min="15364" max="15364" width="23.140625" style="4" customWidth="1"/>
    <col min="15365" max="15365" width="40.42578125" style="4" customWidth="1"/>
    <col min="15366" max="15366" width="10.5703125" style="4" customWidth="1"/>
    <col min="15367" max="15367" width="14" style="4" customWidth="1"/>
    <col min="15368" max="15368" width="125" style="4" customWidth="1"/>
    <col min="15369" max="15382" width="11.7109375" style="4" customWidth="1"/>
    <col min="15383" max="15383" width="10.140625" style="4" bestFit="1" customWidth="1"/>
    <col min="15384" max="15616" width="8.7109375" style="4"/>
    <col min="15617" max="15617" width="38" style="4" customWidth="1"/>
    <col min="15618" max="15619" width="8.7109375" style="4"/>
    <col min="15620" max="15620" width="23.140625" style="4" customWidth="1"/>
    <col min="15621" max="15621" width="40.42578125" style="4" customWidth="1"/>
    <col min="15622" max="15622" width="10.5703125" style="4" customWidth="1"/>
    <col min="15623" max="15623" width="14" style="4" customWidth="1"/>
    <col min="15624" max="15624" width="125" style="4" customWidth="1"/>
    <col min="15625" max="15638" width="11.7109375" style="4" customWidth="1"/>
    <col min="15639" max="15639" width="10.140625" style="4" bestFit="1" customWidth="1"/>
    <col min="15640" max="15872" width="8.7109375" style="4"/>
    <col min="15873" max="15873" width="38" style="4" customWidth="1"/>
    <col min="15874" max="15875" width="8.7109375" style="4"/>
    <col min="15876" max="15876" width="23.140625" style="4" customWidth="1"/>
    <col min="15877" max="15877" width="40.42578125" style="4" customWidth="1"/>
    <col min="15878" max="15878" width="10.5703125" style="4" customWidth="1"/>
    <col min="15879" max="15879" width="14" style="4" customWidth="1"/>
    <col min="15880" max="15880" width="125" style="4" customWidth="1"/>
    <col min="15881" max="15894" width="11.7109375" style="4" customWidth="1"/>
    <col min="15895" max="15895" width="10.140625" style="4" bestFit="1" customWidth="1"/>
    <col min="15896" max="16128" width="8.7109375" style="4"/>
    <col min="16129" max="16129" width="38" style="4" customWidth="1"/>
    <col min="16130" max="16131" width="8.7109375" style="4"/>
    <col min="16132" max="16132" width="23.140625" style="4" customWidth="1"/>
    <col min="16133" max="16133" width="40.42578125" style="4" customWidth="1"/>
    <col min="16134" max="16134" width="10.5703125" style="4" customWidth="1"/>
    <col min="16135" max="16135" width="14" style="4" customWidth="1"/>
    <col min="16136" max="16136" width="125" style="4" customWidth="1"/>
    <col min="16137" max="16150" width="11.7109375" style="4" customWidth="1"/>
    <col min="16151" max="16151" width="10.140625" style="4" bestFit="1" customWidth="1"/>
    <col min="16152" max="16384" width="8.7109375" style="4"/>
  </cols>
  <sheetData>
    <row r="1" spans="1:9" ht="45" x14ac:dyDescent="0.6">
      <c r="A1" s="26" t="s">
        <v>21</v>
      </c>
      <c r="I1" s="27"/>
    </row>
    <row r="2" spans="1:9" ht="11.25" customHeight="1" x14ac:dyDescent="0.6">
      <c r="A2" s="26"/>
      <c r="I2" s="27"/>
    </row>
    <row r="3" spans="1:9" ht="20.100000000000001" customHeight="1" x14ac:dyDescent="0.3">
      <c r="A3" s="28" t="s">
        <v>22</v>
      </c>
      <c r="F3" s="28"/>
      <c r="I3" s="29"/>
    </row>
    <row r="4" spans="1:9" ht="20.100000000000001" customHeight="1" x14ac:dyDescent="0.3">
      <c r="A4" s="29"/>
      <c r="I4" s="29"/>
    </row>
    <row r="5" spans="1:9" ht="18" x14ac:dyDescent="0.25">
      <c r="A5" s="28" t="s">
        <v>23</v>
      </c>
      <c r="E5" s="12"/>
    </row>
    <row r="6" spans="1:9" ht="18" x14ac:dyDescent="0.25">
      <c r="A6" s="28"/>
      <c r="E6" s="12"/>
    </row>
    <row r="7" spans="1:9" ht="12.75" customHeight="1" x14ac:dyDescent="0.25">
      <c r="A7" s="30" t="s">
        <v>24</v>
      </c>
      <c r="B7" s="359"/>
      <c r="C7" s="360"/>
      <c r="D7" s="360"/>
      <c r="E7" s="361"/>
      <c r="F7" s="31"/>
    </row>
    <row r="8" spans="1:9" ht="35.25" customHeight="1" x14ac:dyDescent="0.25">
      <c r="A8" s="32" t="s">
        <v>25</v>
      </c>
      <c r="F8" s="33" t="str">
        <f>IF(Hulpblad_overig!B4=2,"Wanneer u geen producent bent, kan aan u geen subsidie worden verleend","Voeg voor een sterkere haalbaarheidsstudie een juridisch organogram (UBO-overzicht) toe")</f>
        <v>Voeg voor een sterkere haalbaarheidsstudie een juridisch organogram (UBO-overzicht) toe</v>
      </c>
    </row>
    <row r="9" spans="1:9" ht="26.25" customHeight="1" x14ac:dyDescent="0.25">
      <c r="A9" s="34" t="s">
        <v>26</v>
      </c>
      <c r="F9" s="35"/>
    </row>
    <row r="10" spans="1:9" ht="18" customHeight="1" x14ac:dyDescent="0.25">
      <c r="A10" s="36" t="str">
        <f>IF(Hulpblad_overig!B8=2,"U maakt gebruik van balansfinanciering","U maakt gebruik van projectfinanciering, u kunt regels 11 t/m 13 overslaan")</f>
        <v>U maakt gebruik van projectfinanciering, u kunt regels 11 t/m 13 overslaan</v>
      </c>
      <c r="F10" s="37"/>
    </row>
    <row r="11" spans="1:9" ht="12.75" customHeight="1" x14ac:dyDescent="0.25">
      <c r="A11" s="32" t="str">
        <f>IF(Hulpblad_overig!B8=2,"Wat is het eigen vermogen (€)?","Niet van toepassing")</f>
        <v>Niet van toepassing</v>
      </c>
      <c r="E11" s="148">
        <v>0</v>
      </c>
      <c r="F11" s="37"/>
    </row>
    <row r="12" spans="1:9" ht="12.75" customHeight="1" x14ac:dyDescent="0.25">
      <c r="A12" s="32" t="str">
        <f>IF(Hulpblad_overig!B8=2,"Wat is het rentedragende gefinancierde vermogen (€)?","Niet van toepassing")</f>
        <v>Niet van toepassing</v>
      </c>
      <c r="E12" s="149">
        <v>0</v>
      </c>
      <c r="F12" s="37"/>
    </row>
    <row r="13" spans="1:9" ht="12.75" customHeight="1" x14ac:dyDescent="0.25">
      <c r="A13" s="32" t="str">
        <f>IF(Hulpblad_overig!B8=2,"Berekend percentage eigen vermogen voor SDE++ aanvragen (%)","Niet van toepassing")</f>
        <v>Niet van toepassing</v>
      </c>
      <c r="E13" s="150">
        <f>IF(Hulpblad_overig!B8=1,0,E11/(E11+E12))</f>
        <v>0</v>
      </c>
      <c r="F13" s="37"/>
      <c r="H13" s="6" t="str">
        <f>IF(AND(Hulpblad_overig!B8=2,E13&lt;20%),"U maakt gebruik van balansfinanciering met minder dan 20% eigen vermogen. Voeg intentieverklaringen toe van beoogde financiers voor het totaal benodigde vreemd vermogen","")</f>
        <v/>
      </c>
    </row>
    <row r="14" spans="1:9" ht="12.75" customHeight="1" x14ac:dyDescent="0.25">
      <c r="A14" s="32"/>
      <c r="E14" s="5"/>
      <c r="F14" s="37"/>
    </row>
    <row r="15" spans="1:9" ht="12.75" customHeight="1" x14ac:dyDescent="0.25">
      <c r="A15" s="32"/>
      <c r="E15" s="5"/>
      <c r="F15" s="37"/>
      <c r="H15" s="6" t="str">
        <f>IF(Hulpblad_overig!B17=1,"Voeg een jaarrekening toe",IF(Hulpblad_overig!B17=2,"Voeg een bedrijfsbalans met resultatenrekening toe",IF(Hulpblad_overig!B17=3,"Voeg een openingsbalans toe","")))</f>
        <v>Voeg een jaarrekening toe</v>
      </c>
    </row>
    <row r="16" spans="1:9" ht="12.75" customHeight="1" x14ac:dyDescent="0.25">
      <c r="A16" s="12" t="s">
        <v>27</v>
      </c>
      <c r="E16" s="5"/>
      <c r="F16" s="37"/>
    </row>
    <row r="17" spans="1:22" ht="12.75" customHeight="1" x14ac:dyDescent="0.25">
      <c r="A17" s="32"/>
      <c r="E17" s="5"/>
      <c r="F17" s="37"/>
    </row>
    <row r="18" spans="1:22" ht="14.25" customHeight="1" x14ac:dyDescent="0.25">
      <c r="A18" s="28"/>
    </row>
    <row r="19" spans="1:22" ht="12.75" customHeight="1" x14ac:dyDescent="0.25">
      <c r="A19" s="32" t="s">
        <v>28</v>
      </c>
      <c r="C19" s="13"/>
      <c r="D19" s="38"/>
      <c r="E19" s="147">
        <v>1</v>
      </c>
    </row>
    <row r="20" spans="1:22" ht="12.75" customHeight="1" x14ac:dyDescent="0.25">
      <c r="A20" s="32"/>
      <c r="C20" s="13"/>
      <c r="D20" s="38"/>
    </row>
    <row r="21" spans="1:22" ht="18" customHeight="1" x14ac:dyDescent="0.25">
      <c r="A21" s="28" t="s">
        <v>29</v>
      </c>
      <c r="B21" s="7"/>
      <c r="C21" s="8"/>
      <c r="D21" s="9"/>
      <c r="E21" s="39"/>
      <c r="F21" s="30"/>
      <c r="G21" s="40"/>
    </row>
    <row r="22" spans="1:22" ht="163.5" customHeight="1" x14ac:dyDescent="0.25">
      <c r="A22" s="12"/>
      <c r="B22" s="362"/>
      <c r="C22" s="363"/>
      <c r="D22" s="363"/>
      <c r="E22" s="363"/>
      <c r="F22" s="363"/>
      <c r="G22" s="364"/>
    </row>
    <row r="23" spans="1:22" ht="19.5" customHeight="1" x14ac:dyDescent="0.25">
      <c r="C23" s="13"/>
      <c r="D23" s="38"/>
      <c r="E23" s="38"/>
    </row>
    <row r="24" spans="1:22" ht="18" customHeight="1" x14ac:dyDescent="0.25">
      <c r="A24" s="28" t="s">
        <v>30</v>
      </c>
      <c r="C24" s="13"/>
      <c r="D24" s="38"/>
      <c r="E24" s="38"/>
    </row>
    <row r="25" spans="1:22" ht="163.5" customHeight="1" x14ac:dyDescent="0.25">
      <c r="A25" s="30"/>
      <c r="B25" s="365"/>
      <c r="C25" s="366"/>
      <c r="D25" s="366"/>
      <c r="E25" s="366"/>
      <c r="F25" s="360"/>
      <c r="G25" s="361"/>
    </row>
    <row r="26" spans="1:22" x14ac:dyDescent="0.25">
      <c r="A26" s="30"/>
      <c r="C26" s="13"/>
      <c r="D26" s="38"/>
      <c r="E26" s="38"/>
    </row>
    <row r="28" spans="1:22" ht="18" x14ac:dyDescent="0.25">
      <c r="A28" s="28" t="s">
        <v>31</v>
      </c>
    </row>
    <row r="29" spans="1:22" x14ac:dyDescent="0.25">
      <c r="A29" s="12" t="s">
        <v>32</v>
      </c>
    </row>
    <row r="30" spans="1:22" ht="12.75" customHeight="1" x14ac:dyDescent="0.25">
      <c r="B30" s="367"/>
      <c r="C30" s="368"/>
      <c r="D30" s="368"/>
      <c r="E30" s="369"/>
      <c r="G30" s="148">
        <v>0</v>
      </c>
      <c r="H30" s="11" t="str">
        <f>IF(G30&gt;0,"Voeg eventueel offerte(s) toe voor "&amp;B30&amp;"","")</f>
        <v/>
      </c>
      <c r="I30" s="38"/>
      <c r="J30" s="38"/>
      <c r="K30" s="38"/>
      <c r="L30" s="38"/>
      <c r="M30" s="38"/>
      <c r="N30" s="38"/>
      <c r="O30" s="38"/>
      <c r="P30" s="38"/>
      <c r="Q30" s="38"/>
      <c r="R30" s="38"/>
      <c r="S30" s="38"/>
      <c r="T30" s="38"/>
      <c r="U30" s="38"/>
      <c r="V30" s="38"/>
    </row>
    <row r="31" spans="1:22" ht="12.75" customHeight="1" x14ac:dyDescent="0.25">
      <c r="B31" s="356"/>
      <c r="C31" s="357"/>
      <c r="D31" s="357"/>
      <c r="E31" s="358"/>
      <c r="G31" s="10">
        <v>0</v>
      </c>
      <c r="H31" s="11" t="str">
        <f t="shared" ref="H31:H39" si="0">IF(G31&gt;0,"Voeg eventueel offerte(s) toe voor "&amp;B31&amp;"","")</f>
        <v/>
      </c>
      <c r="I31" s="38"/>
      <c r="J31" s="38"/>
      <c r="K31" s="38"/>
      <c r="L31" s="38"/>
      <c r="M31" s="38"/>
      <c r="N31" s="38"/>
      <c r="O31" s="38"/>
      <c r="P31" s="38"/>
      <c r="Q31" s="38"/>
      <c r="R31" s="38"/>
      <c r="S31" s="38"/>
      <c r="T31" s="38"/>
      <c r="U31" s="38"/>
      <c r="V31" s="38"/>
    </row>
    <row r="32" spans="1:22" ht="12.75" customHeight="1" x14ac:dyDescent="0.25">
      <c r="B32" s="356"/>
      <c r="C32" s="357"/>
      <c r="D32" s="357"/>
      <c r="E32" s="358"/>
      <c r="G32" s="10">
        <v>0</v>
      </c>
      <c r="H32" s="11" t="str">
        <f t="shared" si="0"/>
        <v/>
      </c>
      <c r="I32" s="38"/>
      <c r="J32" s="38"/>
      <c r="K32" s="38"/>
      <c r="L32" s="38"/>
      <c r="M32" s="38"/>
      <c r="N32" s="38"/>
      <c r="O32" s="38"/>
      <c r="P32" s="38"/>
      <c r="Q32" s="38"/>
      <c r="R32" s="38"/>
      <c r="S32" s="38"/>
      <c r="T32" s="38"/>
      <c r="U32" s="38"/>
      <c r="V32" s="38"/>
    </row>
    <row r="33" spans="1:23" ht="12.75" customHeight="1" x14ac:dyDescent="0.25">
      <c r="B33" s="356"/>
      <c r="C33" s="357"/>
      <c r="D33" s="357"/>
      <c r="E33" s="358"/>
      <c r="G33" s="10">
        <v>0</v>
      </c>
      <c r="H33" s="11" t="str">
        <f t="shared" si="0"/>
        <v/>
      </c>
      <c r="I33" s="38"/>
      <c r="J33" s="38"/>
      <c r="K33" s="38"/>
      <c r="L33" s="38"/>
      <c r="M33" s="38"/>
      <c r="N33" s="38"/>
      <c r="O33" s="38"/>
      <c r="P33" s="38"/>
      <c r="Q33" s="38"/>
      <c r="R33" s="38"/>
      <c r="S33" s="38"/>
      <c r="T33" s="38"/>
      <c r="U33" s="38"/>
      <c r="V33" s="38"/>
    </row>
    <row r="34" spans="1:23" ht="12.75" customHeight="1" x14ac:dyDescent="0.25">
      <c r="B34" s="356"/>
      <c r="C34" s="357"/>
      <c r="D34" s="357"/>
      <c r="E34" s="358"/>
      <c r="G34" s="10">
        <v>0</v>
      </c>
      <c r="H34" s="11" t="str">
        <f t="shared" si="0"/>
        <v/>
      </c>
      <c r="I34" s="38"/>
      <c r="J34" s="38"/>
      <c r="K34" s="38"/>
      <c r="L34" s="38"/>
      <c r="M34" s="38"/>
      <c r="N34" s="38"/>
      <c r="O34" s="38"/>
      <c r="P34" s="38"/>
      <c r="Q34" s="38"/>
      <c r="R34" s="38"/>
      <c r="S34" s="38"/>
      <c r="T34" s="38"/>
      <c r="U34" s="38"/>
      <c r="V34" s="38"/>
    </row>
    <row r="35" spans="1:23" ht="12.75" customHeight="1" x14ac:dyDescent="0.25">
      <c r="B35" s="356"/>
      <c r="C35" s="373"/>
      <c r="D35" s="373"/>
      <c r="E35" s="374"/>
      <c r="G35" s="149">
        <v>0</v>
      </c>
      <c r="H35" s="11" t="str">
        <f t="shared" si="0"/>
        <v/>
      </c>
      <c r="I35" s="38"/>
      <c r="J35" s="38"/>
      <c r="K35" s="38"/>
      <c r="L35" s="38"/>
      <c r="M35" s="38"/>
      <c r="N35" s="38"/>
      <c r="O35" s="38"/>
      <c r="P35" s="38"/>
      <c r="Q35" s="38"/>
      <c r="R35" s="38"/>
      <c r="S35" s="38"/>
      <c r="T35" s="38"/>
      <c r="U35" s="38"/>
      <c r="V35" s="38"/>
    </row>
    <row r="36" spans="1:23" ht="12.75" customHeight="1" x14ac:dyDescent="0.25">
      <c r="B36" s="356"/>
      <c r="C36" s="373"/>
      <c r="D36" s="373"/>
      <c r="E36" s="374"/>
      <c r="G36" s="149">
        <v>0</v>
      </c>
      <c r="H36" s="11" t="str">
        <f t="shared" si="0"/>
        <v/>
      </c>
      <c r="I36" s="38"/>
      <c r="J36" s="38"/>
      <c r="K36" s="38"/>
      <c r="L36" s="38"/>
      <c r="M36" s="38"/>
      <c r="N36" s="38"/>
      <c r="O36" s="38"/>
      <c r="P36" s="38"/>
      <c r="Q36" s="38"/>
      <c r="R36" s="38"/>
      <c r="S36" s="38"/>
      <c r="T36" s="38"/>
      <c r="U36" s="38"/>
      <c r="V36" s="38"/>
    </row>
    <row r="37" spans="1:23" ht="12.75" customHeight="1" x14ac:dyDescent="0.25">
      <c r="B37" s="356"/>
      <c r="C37" s="373"/>
      <c r="D37" s="373"/>
      <c r="E37" s="374"/>
      <c r="G37" s="149">
        <v>0</v>
      </c>
      <c r="H37" s="11" t="str">
        <f t="shared" si="0"/>
        <v/>
      </c>
      <c r="I37" s="38"/>
      <c r="J37" s="38"/>
      <c r="K37" s="38"/>
      <c r="L37" s="38"/>
      <c r="M37" s="38"/>
      <c r="N37" s="38"/>
      <c r="O37" s="38"/>
      <c r="P37" s="38"/>
      <c r="Q37" s="38"/>
      <c r="R37" s="38"/>
      <c r="S37" s="38"/>
      <c r="T37" s="38"/>
      <c r="U37" s="38"/>
      <c r="V37" s="38"/>
    </row>
    <row r="38" spans="1:23" ht="12.75" customHeight="1" x14ac:dyDescent="0.25">
      <c r="B38" s="356"/>
      <c r="C38" s="373"/>
      <c r="D38" s="373"/>
      <c r="E38" s="374"/>
      <c r="G38" s="149">
        <v>0</v>
      </c>
      <c r="H38" s="11" t="str">
        <f t="shared" si="0"/>
        <v/>
      </c>
      <c r="I38" s="38"/>
      <c r="J38" s="38"/>
      <c r="K38" s="38"/>
      <c r="L38" s="38"/>
      <c r="M38" s="38"/>
      <c r="N38" s="38"/>
      <c r="O38" s="38"/>
      <c r="P38" s="38"/>
      <c r="Q38" s="38"/>
      <c r="R38" s="38"/>
      <c r="S38" s="38"/>
      <c r="T38" s="38"/>
      <c r="U38" s="38"/>
      <c r="V38" s="38"/>
    </row>
    <row r="39" spans="1:23" ht="12.75" customHeight="1" x14ac:dyDescent="0.25">
      <c r="A39" s="12"/>
      <c r="B39" s="375"/>
      <c r="C39" s="376"/>
      <c r="D39" s="376"/>
      <c r="E39" s="377"/>
      <c r="G39" s="162">
        <v>0</v>
      </c>
      <c r="H39" s="11" t="str">
        <f t="shared" si="0"/>
        <v/>
      </c>
      <c r="I39" s="38"/>
      <c r="J39" s="38"/>
      <c r="K39" s="38"/>
      <c r="L39" s="38"/>
      <c r="M39" s="38"/>
      <c r="N39" s="38"/>
      <c r="O39" s="38"/>
      <c r="P39" s="38"/>
      <c r="Q39" s="38"/>
      <c r="R39" s="38"/>
      <c r="S39" s="38"/>
      <c r="T39" s="38"/>
      <c r="U39" s="38"/>
      <c r="V39" s="38"/>
    </row>
    <row r="40" spans="1:23" ht="12.75" customHeight="1" x14ac:dyDescent="0.25">
      <c r="A40" s="12" t="s">
        <v>33</v>
      </c>
      <c r="B40" s="41"/>
      <c r="C40" s="41"/>
      <c r="D40" s="41"/>
      <c r="E40" s="41"/>
      <c r="G40" s="42">
        <f>SUM(G30:G39)</f>
        <v>0</v>
      </c>
      <c r="H40" s="11" t="str">
        <f>IF(G40&gt;30000000,"Voeg eventueel een liquiditeitsbegroting toe (planning wanneer u welke bedragen in het project gaat inbrengen)","")</f>
        <v/>
      </c>
      <c r="I40" s="43"/>
      <c r="J40" s="43"/>
      <c r="K40" s="43"/>
      <c r="L40" s="43"/>
      <c r="M40" s="43"/>
      <c r="N40" s="43"/>
      <c r="O40" s="43"/>
      <c r="P40" s="43"/>
      <c r="Q40" s="43"/>
      <c r="R40" s="43"/>
      <c r="S40" s="43"/>
      <c r="T40" s="43"/>
      <c r="U40" s="43"/>
      <c r="V40" s="43"/>
    </row>
    <row r="41" spans="1:23" ht="12.75" customHeight="1" x14ac:dyDescent="0.25"/>
    <row r="42" spans="1:23" ht="18" x14ac:dyDescent="0.25">
      <c r="A42" s="28" t="s">
        <v>34</v>
      </c>
    </row>
    <row r="43" spans="1:23" ht="12.75" customHeight="1" x14ac:dyDescent="0.25">
      <c r="A43" s="12" t="str">
        <f>IF(Hulpblad_overig!B8=2,"Eigen vermogen (€)","Niet van toepassing")</f>
        <v>Niet van toepassing</v>
      </c>
      <c r="G43" s="188">
        <f>IF(Hulpblad_overig!B8=2,G40*E13,0)</f>
        <v>0</v>
      </c>
    </row>
    <row r="44" spans="1:23" ht="12.75" customHeight="1" x14ac:dyDescent="0.25">
      <c r="A44" s="12" t="str">
        <f>IF(Hulpblad_overig!B8=2,"Rentedragende financiering (€)","Niet van toepassing")</f>
        <v>Niet van toepassing</v>
      </c>
      <c r="G44" s="165">
        <f>IF(Hulpblad_overig!B8=2,G40-G43,0)</f>
        <v>0</v>
      </c>
    </row>
    <row r="45" spans="1:23" x14ac:dyDescent="0.25">
      <c r="A45" s="12"/>
    </row>
    <row r="46" spans="1:23" s="30" customFormat="1" ht="12.75" x14ac:dyDescent="0.2">
      <c r="G46" s="42"/>
      <c r="H46" s="43"/>
      <c r="I46" s="43"/>
      <c r="J46" s="43"/>
      <c r="K46" s="43"/>
      <c r="L46" s="43"/>
      <c r="M46" s="43"/>
      <c r="N46" s="43"/>
      <c r="O46" s="43"/>
      <c r="P46" s="43"/>
      <c r="Q46" s="43"/>
      <c r="R46" s="43"/>
      <c r="S46" s="43"/>
      <c r="T46" s="43"/>
      <c r="U46" s="43"/>
      <c r="V46" s="43"/>
      <c r="W46" s="43"/>
    </row>
    <row r="47" spans="1:23" s="30" customFormat="1" ht="18" x14ac:dyDescent="0.25">
      <c r="A47" s="378" t="str">
        <f>IF(Hulpblad_overig!B8=2,"U maakt gebruik van balansfinanciering, u kunt regels 49 t/m 98 overslaan","Invulblok voor projectfinanciering")</f>
        <v>Invulblok voor projectfinanciering</v>
      </c>
      <c r="B47" s="378"/>
      <c r="C47" s="379"/>
      <c r="D47" s="379"/>
      <c r="E47" s="379"/>
      <c r="G47" s="42"/>
      <c r="H47" s="43"/>
      <c r="I47" s="43"/>
      <c r="J47" s="43"/>
      <c r="K47" s="43"/>
      <c r="L47" s="43"/>
      <c r="M47" s="43"/>
      <c r="N47" s="43"/>
      <c r="O47" s="43"/>
      <c r="P47" s="43"/>
      <c r="Q47" s="43"/>
      <c r="R47" s="43"/>
      <c r="S47" s="43"/>
      <c r="T47" s="43"/>
      <c r="U47" s="43"/>
      <c r="V47" s="43"/>
      <c r="W47" s="43"/>
    </row>
    <row r="48" spans="1:23" s="30" customFormat="1" ht="18" x14ac:dyDescent="0.25">
      <c r="A48" s="28"/>
      <c r="B48" s="4"/>
      <c r="C48" s="4"/>
      <c r="D48" s="4"/>
      <c r="E48" s="4"/>
      <c r="G48" s="42"/>
      <c r="H48" s="43"/>
      <c r="I48" s="43"/>
      <c r="J48" s="43"/>
      <c r="K48" s="43"/>
      <c r="L48" s="43"/>
      <c r="M48" s="43"/>
      <c r="N48" s="43"/>
      <c r="O48" s="43"/>
      <c r="P48" s="43"/>
      <c r="Q48" s="43"/>
      <c r="R48" s="43"/>
      <c r="S48" s="43"/>
      <c r="T48" s="43"/>
      <c r="U48" s="43"/>
      <c r="V48" s="43"/>
      <c r="W48" s="43"/>
    </row>
    <row r="49" spans="1:23" s="30" customFormat="1" x14ac:dyDescent="0.25">
      <c r="A49" s="44" t="str">
        <f>IF(Hulpblad_overig!B8=1,"Eigen vermogen","Niet van toepassing")</f>
        <v>Eigen vermogen</v>
      </c>
      <c r="B49" s="4"/>
      <c r="C49" s="4"/>
      <c r="D49" s="4"/>
      <c r="E49" s="4"/>
      <c r="G49" s="42"/>
      <c r="H49" s="43"/>
      <c r="I49" s="43"/>
      <c r="J49" s="43"/>
      <c r="K49" s="43"/>
      <c r="L49" s="43"/>
      <c r="M49" s="43"/>
      <c r="N49" s="43"/>
      <c r="O49" s="43"/>
      <c r="P49" s="43"/>
      <c r="Q49" s="43"/>
      <c r="R49" s="43"/>
      <c r="S49" s="43"/>
      <c r="T49" s="43"/>
      <c r="U49" s="43"/>
      <c r="V49" s="43"/>
      <c r="W49" s="43"/>
    </row>
    <row r="50" spans="1:23" s="30" customFormat="1" ht="12.75" customHeight="1" x14ac:dyDescent="0.25">
      <c r="A50" s="12" t="str">
        <f>IF(Hulpblad_overig!B8=1,"Geef hier eventueel aangevraagde investeringssubsidie op:","Niet van toepassing")</f>
        <v>Geef hier eventueel aangevraagde investeringssubsidie op:</v>
      </c>
      <c r="B50" s="4"/>
      <c r="C50" s="4"/>
      <c r="D50" s="4"/>
      <c r="E50" s="14"/>
      <c r="G50" s="12"/>
      <c r="H50" s="12"/>
      <c r="I50" s="43"/>
      <c r="J50" s="43"/>
      <c r="K50" s="43"/>
      <c r="L50" s="43"/>
      <c r="M50" s="43"/>
      <c r="N50" s="43"/>
      <c r="O50" s="43"/>
      <c r="P50" s="43"/>
      <c r="Q50" s="43"/>
      <c r="R50" s="43"/>
      <c r="S50" s="43"/>
      <c r="T50" s="43"/>
      <c r="U50" s="43"/>
      <c r="V50" s="43"/>
      <c r="W50" s="43"/>
    </row>
    <row r="51" spans="1:23" ht="12.75" customHeight="1" x14ac:dyDescent="0.25">
      <c r="A51" s="163" t="s">
        <v>495</v>
      </c>
      <c r="B51" s="380"/>
      <c r="C51" s="381"/>
      <c r="D51" s="381"/>
      <c r="E51" s="382"/>
      <c r="G51" s="186">
        <v>0</v>
      </c>
      <c r="H51" s="11" t="str">
        <f>IF(AND(G51&gt;0,B51=""),"U moet nog de naam van de subsidieregeling invullen","")</f>
        <v/>
      </c>
      <c r="I51" s="38"/>
      <c r="J51" s="38"/>
      <c r="K51" s="38"/>
      <c r="L51" s="38"/>
      <c r="M51" s="38"/>
      <c r="N51" s="38"/>
      <c r="O51" s="38"/>
      <c r="P51" s="38"/>
      <c r="Q51" s="38"/>
      <c r="R51" s="38"/>
      <c r="S51" s="38"/>
      <c r="T51" s="38"/>
      <c r="U51" s="38"/>
      <c r="V51" s="38"/>
    </row>
    <row r="52" spans="1:23" ht="12.75" customHeight="1" x14ac:dyDescent="0.25">
      <c r="B52" s="12" t="str">
        <f>IF(Hulpblad_overig!B8=1,"Is deze investeringssubsidie reeds verleend? (ja/nee)","Niet van toepassing")</f>
        <v>Is deze investeringssubsidie reeds verleend? (ja/nee)</v>
      </c>
      <c r="C52" s="13"/>
      <c r="D52" s="13"/>
      <c r="E52" s="13"/>
      <c r="G52" s="166"/>
      <c r="H52" s="43"/>
      <c r="I52" s="38"/>
      <c r="J52" s="38"/>
      <c r="K52" s="38"/>
      <c r="L52" s="38"/>
      <c r="M52" s="38"/>
      <c r="N52" s="38"/>
      <c r="O52" s="38"/>
      <c r="P52" s="38"/>
      <c r="Q52" s="38"/>
      <c r="R52" s="38"/>
      <c r="S52" s="38"/>
      <c r="T52" s="38"/>
      <c r="U52" s="38"/>
      <c r="V52" s="38"/>
    </row>
    <row r="53" spans="1:23" ht="12.75" customHeight="1" x14ac:dyDescent="0.25">
      <c r="B53" s="15"/>
      <c r="C53" s="13"/>
      <c r="D53" s="13"/>
      <c r="E53" s="13"/>
      <c r="F53" s="8"/>
      <c r="G53" s="189"/>
      <c r="H53" s="43"/>
      <c r="I53" s="38"/>
      <c r="J53" s="38"/>
      <c r="K53" s="38"/>
      <c r="L53" s="38"/>
      <c r="M53" s="38"/>
      <c r="N53" s="38"/>
      <c r="O53" s="38"/>
      <c r="P53" s="38"/>
      <c r="Q53" s="38"/>
      <c r="R53" s="38"/>
      <c r="S53" s="38"/>
      <c r="T53" s="38"/>
      <c r="U53" s="38"/>
      <c r="V53" s="38"/>
    </row>
    <row r="54" spans="1:23" s="30" customFormat="1" ht="17.25" customHeight="1" x14ac:dyDescent="0.25">
      <c r="A54" s="44" t="str">
        <f>IF(Hulpblad_overig!B8=1,"Nadere toelichting/omschrijving eigenvermogen","Niet van toepassing")</f>
        <v>Nadere toelichting/omschrijving eigenvermogen</v>
      </c>
      <c r="B54" s="4"/>
      <c r="C54" s="4"/>
      <c r="D54" s="4"/>
      <c r="E54" s="14"/>
      <c r="G54" s="12"/>
      <c r="H54" s="12"/>
      <c r="I54" s="43"/>
      <c r="J54" s="43"/>
      <c r="K54" s="43"/>
      <c r="L54" s="43"/>
      <c r="M54" s="43"/>
      <c r="N54" s="43"/>
      <c r="O54" s="43"/>
      <c r="P54" s="43"/>
      <c r="Q54" s="43"/>
      <c r="R54" s="43"/>
      <c r="S54" s="43"/>
      <c r="T54" s="43"/>
      <c r="U54" s="43"/>
      <c r="V54" s="43"/>
      <c r="W54" s="43"/>
    </row>
    <row r="55" spans="1:23" s="30" customFormat="1" ht="12.75" customHeight="1" x14ac:dyDescent="0.25">
      <c r="A55" s="12" t="str">
        <f>IF(Hulpblad_overig!B8=1,"Inbreng van eigen vermogen van de aanvrager zelf (€)","Niet van toepassing")</f>
        <v>Inbreng van eigen vermogen van de aanvrager zelf (€)</v>
      </c>
      <c r="B55" s="4"/>
      <c r="C55" s="4"/>
      <c r="D55" s="4"/>
      <c r="E55" s="14"/>
      <c r="G55" s="186">
        <v>0</v>
      </c>
      <c r="H55" s="11"/>
      <c r="I55" s="43"/>
      <c r="J55" s="43"/>
      <c r="K55" s="43"/>
      <c r="L55" s="43"/>
      <c r="M55" s="43"/>
      <c r="N55" s="43"/>
      <c r="O55" s="43"/>
      <c r="P55" s="43"/>
      <c r="Q55" s="43"/>
      <c r="R55" s="43"/>
      <c r="S55" s="43"/>
      <c r="T55" s="43"/>
      <c r="U55" s="43"/>
      <c r="V55" s="43"/>
      <c r="W55" s="43"/>
    </row>
    <row r="56" spans="1:23" s="30" customFormat="1" ht="12.75" customHeight="1" x14ac:dyDescent="0.2">
      <c r="A56" s="12" t="str">
        <f>IF(Hulpblad_overig!B8=1,"Verleende investeringssubsidie (€)","Niet van toepassing")</f>
        <v>Verleende investeringssubsidie (€)</v>
      </c>
      <c r="B56" s="383" t="str">
        <f>IF(OR(Hulpblad_overig!B22=2,B51=""),"",B51)</f>
        <v/>
      </c>
      <c r="C56" s="384"/>
      <c r="D56" s="384"/>
      <c r="E56" s="385"/>
      <c r="G56" s="175">
        <f>IF(Hulpblad_overig!B22=1,G51,0)</f>
        <v>0</v>
      </c>
      <c r="H56" s="11" t="str">
        <f>IF(G56&gt;0,"Voeg de subsidiebeschikking "&amp;B56&amp;" toe","")</f>
        <v/>
      </c>
      <c r="I56" s="43"/>
      <c r="J56" s="43"/>
      <c r="K56" s="43"/>
      <c r="L56" s="43"/>
      <c r="M56" s="43"/>
      <c r="N56" s="43"/>
      <c r="O56" s="43"/>
      <c r="P56" s="43"/>
      <c r="Q56" s="43"/>
      <c r="R56" s="43"/>
      <c r="S56" s="43"/>
      <c r="T56" s="43"/>
      <c r="U56" s="43"/>
      <c r="V56" s="43"/>
      <c r="W56" s="43"/>
    </row>
    <row r="57" spans="1:23" s="30" customFormat="1" ht="12.75" customHeight="1" x14ac:dyDescent="0.2">
      <c r="A57" s="12"/>
      <c r="B57" s="190"/>
      <c r="C57" s="163"/>
      <c r="D57" s="163"/>
      <c r="E57" s="163"/>
      <c r="G57" s="166"/>
      <c r="H57" s="16"/>
      <c r="I57" s="43"/>
      <c r="J57" s="43"/>
      <c r="K57" s="43"/>
      <c r="L57" s="43"/>
      <c r="M57" s="43"/>
      <c r="N57" s="43"/>
      <c r="O57" s="43"/>
      <c r="P57" s="43"/>
      <c r="Q57" s="43"/>
      <c r="R57" s="43"/>
      <c r="S57" s="43"/>
      <c r="T57" s="43"/>
      <c r="U57" s="43"/>
      <c r="V57" s="43"/>
      <c r="W57" s="43"/>
    </row>
    <row r="58" spans="1:23" s="30" customFormat="1" ht="12.75" customHeight="1" x14ac:dyDescent="0.2">
      <c r="A58" s="12" t="str">
        <f>IF(Hulpblad_overig!B8=1,"Inbreng vermogen middels crowdfunding of participaties (€) (indien van toepassing)","Niet van toepassing")</f>
        <v>Inbreng vermogen middels crowdfunding of participaties (€) (indien van toepassing)</v>
      </c>
      <c r="B58" s="190"/>
      <c r="C58" s="163"/>
      <c r="D58" s="163"/>
      <c r="E58" s="163"/>
      <c r="G58" s="181">
        <v>0</v>
      </c>
      <c r="H58" s="6" t="str">
        <f>IF(G58&gt;0,"Voeg bijlage toe met een beschrijving of prospectus voor het crowdfunding- of participatieproject waaruit blijkt dat u dit vermogen kunt inbrengen","")</f>
        <v/>
      </c>
      <c r="I58" s="43"/>
      <c r="J58" s="43"/>
      <c r="K58" s="43"/>
      <c r="L58" s="43"/>
      <c r="M58" s="43"/>
      <c r="N58" s="43"/>
      <c r="O58" s="43"/>
      <c r="P58" s="43"/>
      <c r="Q58" s="43"/>
      <c r="R58" s="43"/>
      <c r="S58" s="43"/>
      <c r="T58" s="43"/>
      <c r="U58" s="43"/>
      <c r="V58" s="43"/>
      <c r="W58" s="43"/>
    </row>
    <row r="59" spans="1:23" s="30" customFormat="1" ht="12.75" customHeight="1" x14ac:dyDescent="0.2">
      <c r="A59" s="12"/>
      <c r="B59" s="190"/>
      <c r="C59" s="163"/>
      <c r="D59" s="163"/>
      <c r="E59" s="163"/>
      <c r="G59" s="166"/>
      <c r="H59" s="17"/>
      <c r="I59" s="43"/>
      <c r="J59" s="43"/>
      <c r="K59" s="43"/>
      <c r="L59" s="43"/>
      <c r="M59" s="43"/>
      <c r="N59" s="43"/>
      <c r="O59" s="43"/>
      <c r="P59" s="43"/>
      <c r="Q59" s="43"/>
      <c r="R59" s="43"/>
      <c r="S59" s="43"/>
      <c r="T59" s="43"/>
      <c r="U59" s="43"/>
      <c r="V59" s="43"/>
      <c r="W59" s="43"/>
    </row>
    <row r="60" spans="1:23" s="30" customFormat="1" ht="12.75" customHeight="1" x14ac:dyDescent="0.2">
      <c r="A60" s="12" t="str">
        <f>IF(Hulpblad_overig!B8=1,"Namen overige eigenvermogenverschaffers en inbreng (€) (indien van toepassing)","Niet van toepassing")</f>
        <v>Namen overige eigenvermogenverschaffers en inbreng (€) (indien van toepassing)</v>
      </c>
      <c r="B60" s="163"/>
      <c r="C60" s="163"/>
      <c r="D60" s="163"/>
      <c r="E60" s="166"/>
      <c r="G60" s="42"/>
      <c r="H60" s="16"/>
      <c r="I60" s="43"/>
      <c r="J60" s="43"/>
      <c r="K60" s="43"/>
      <c r="L60" s="43"/>
      <c r="M60" s="43"/>
      <c r="N60" s="43"/>
      <c r="O60" s="43"/>
      <c r="P60" s="43"/>
      <c r="Q60" s="43"/>
      <c r="R60" s="43"/>
      <c r="S60" s="43"/>
      <c r="T60" s="43"/>
      <c r="U60" s="43"/>
      <c r="V60" s="43"/>
      <c r="W60" s="43"/>
    </row>
    <row r="61" spans="1:23" s="30" customFormat="1" ht="12.75" customHeight="1" x14ac:dyDescent="0.2">
      <c r="A61" s="12"/>
      <c r="B61" s="386"/>
      <c r="C61" s="387"/>
      <c r="D61" s="387"/>
      <c r="E61" s="388"/>
      <c r="F61" s="163"/>
      <c r="G61" s="148">
        <v>0</v>
      </c>
      <c r="H61" s="11" t="str">
        <f t="shared" ref="H61:H70" si="1">IF(G61&gt;0,"Voeg contract toe en eventueel jaarrekening of bedrijfsbalans van " &amp;B61&amp;"","")</f>
        <v/>
      </c>
      <c r="I61" s="43"/>
      <c r="J61" s="43"/>
      <c r="K61" s="43"/>
      <c r="L61" s="43"/>
      <c r="M61" s="43"/>
      <c r="N61" s="43"/>
      <c r="O61" s="43"/>
      <c r="P61" s="43"/>
      <c r="Q61" s="43"/>
      <c r="R61" s="43"/>
      <c r="S61" s="43"/>
      <c r="T61" s="43"/>
      <c r="U61" s="43"/>
      <c r="V61" s="43"/>
      <c r="W61" s="43"/>
    </row>
    <row r="62" spans="1:23" s="30" customFormat="1" ht="12.75" customHeight="1" x14ac:dyDescent="0.2">
      <c r="A62" s="12"/>
      <c r="B62" s="370"/>
      <c r="C62" s="371"/>
      <c r="D62" s="371"/>
      <c r="E62" s="372"/>
      <c r="F62" s="163"/>
      <c r="G62" s="10">
        <v>0</v>
      </c>
      <c r="H62" s="11" t="str">
        <f t="shared" si="1"/>
        <v/>
      </c>
      <c r="I62" s="43"/>
      <c r="J62" s="43"/>
      <c r="K62" s="43"/>
      <c r="L62" s="43"/>
      <c r="M62" s="43"/>
      <c r="N62" s="43"/>
      <c r="O62" s="43"/>
      <c r="P62" s="43"/>
      <c r="Q62" s="43"/>
      <c r="R62" s="43"/>
      <c r="S62" s="43"/>
      <c r="T62" s="43"/>
      <c r="U62" s="43"/>
      <c r="V62" s="43"/>
      <c r="W62" s="43"/>
    </row>
    <row r="63" spans="1:23" s="30" customFormat="1" ht="12.75" customHeight="1" x14ac:dyDescent="0.2">
      <c r="A63" s="12"/>
      <c r="B63" s="370"/>
      <c r="C63" s="371"/>
      <c r="D63" s="371"/>
      <c r="E63" s="372"/>
      <c r="F63" s="163"/>
      <c r="G63" s="10">
        <v>0</v>
      </c>
      <c r="H63" s="11" t="str">
        <f t="shared" si="1"/>
        <v/>
      </c>
      <c r="I63" s="43"/>
      <c r="J63" s="43"/>
      <c r="K63" s="43"/>
      <c r="L63" s="43"/>
      <c r="M63" s="43"/>
      <c r="N63" s="43"/>
      <c r="O63" s="43"/>
      <c r="P63" s="43"/>
      <c r="Q63" s="43"/>
      <c r="R63" s="43"/>
      <c r="S63" s="43"/>
      <c r="T63" s="43"/>
      <c r="U63" s="43"/>
      <c r="V63" s="43"/>
      <c r="W63" s="43"/>
    </row>
    <row r="64" spans="1:23" s="30" customFormat="1" ht="12.75" customHeight="1" x14ac:dyDescent="0.2">
      <c r="A64" s="12"/>
      <c r="B64" s="370"/>
      <c r="C64" s="371"/>
      <c r="D64" s="371"/>
      <c r="E64" s="372"/>
      <c r="F64" s="163"/>
      <c r="G64" s="10">
        <v>0</v>
      </c>
      <c r="H64" s="11" t="str">
        <f t="shared" si="1"/>
        <v/>
      </c>
      <c r="I64" s="43"/>
      <c r="J64" s="43"/>
      <c r="K64" s="43"/>
      <c r="L64" s="43"/>
      <c r="M64" s="43"/>
      <c r="N64" s="43"/>
      <c r="O64" s="43"/>
      <c r="P64" s="43"/>
      <c r="Q64" s="43"/>
      <c r="R64" s="43"/>
      <c r="S64" s="43"/>
      <c r="T64" s="43"/>
      <c r="U64" s="43"/>
      <c r="V64" s="43"/>
      <c r="W64" s="43"/>
    </row>
    <row r="65" spans="1:23" s="30" customFormat="1" ht="12.75" customHeight="1" x14ac:dyDescent="0.2">
      <c r="A65" s="12"/>
      <c r="B65" s="370"/>
      <c r="C65" s="371"/>
      <c r="D65" s="371"/>
      <c r="E65" s="372"/>
      <c r="F65" s="163"/>
      <c r="G65" s="10">
        <v>0</v>
      </c>
      <c r="H65" s="11" t="str">
        <f t="shared" si="1"/>
        <v/>
      </c>
      <c r="I65" s="43"/>
      <c r="J65" s="43"/>
      <c r="K65" s="43"/>
      <c r="L65" s="43"/>
      <c r="M65" s="43"/>
      <c r="N65" s="43"/>
      <c r="O65" s="43"/>
      <c r="P65" s="43"/>
      <c r="Q65" s="43"/>
      <c r="R65" s="43"/>
      <c r="S65" s="43"/>
      <c r="T65" s="43"/>
      <c r="U65" s="43"/>
      <c r="V65" s="43"/>
      <c r="W65" s="43"/>
    </row>
    <row r="66" spans="1:23" s="30" customFormat="1" ht="12.75" customHeight="1" x14ac:dyDescent="0.2">
      <c r="A66" s="12"/>
      <c r="B66" s="370"/>
      <c r="C66" s="389"/>
      <c r="D66" s="389"/>
      <c r="E66" s="390"/>
      <c r="F66" s="163"/>
      <c r="G66" s="149">
        <v>0</v>
      </c>
      <c r="H66" s="11" t="str">
        <f t="shared" si="1"/>
        <v/>
      </c>
      <c r="I66" s="43"/>
      <c r="J66" s="43"/>
      <c r="K66" s="43"/>
      <c r="L66" s="43"/>
      <c r="M66" s="43"/>
      <c r="N66" s="43"/>
      <c r="O66" s="43"/>
      <c r="P66" s="43"/>
      <c r="Q66" s="43"/>
      <c r="R66" s="43"/>
      <c r="S66" s="43"/>
      <c r="T66" s="43"/>
      <c r="U66" s="43"/>
      <c r="V66" s="43"/>
      <c r="W66" s="43"/>
    </row>
    <row r="67" spans="1:23" s="30" customFormat="1" ht="12.75" customHeight="1" x14ac:dyDescent="0.2">
      <c r="A67" s="12"/>
      <c r="B67" s="370"/>
      <c r="C67" s="389"/>
      <c r="D67" s="389"/>
      <c r="E67" s="390"/>
      <c r="F67" s="163"/>
      <c r="G67" s="149">
        <v>0</v>
      </c>
      <c r="H67" s="11" t="str">
        <f t="shared" si="1"/>
        <v/>
      </c>
      <c r="I67" s="43"/>
      <c r="J67" s="43"/>
      <c r="K67" s="43"/>
      <c r="L67" s="43"/>
      <c r="M67" s="43"/>
      <c r="N67" s="43"/>
      <c r="O67" s="43"/>
      <c r="P67" s="43"/>
      <c r="Q67" s="43"/>
      <c r="R67" s="43"/>
      <c r="S67" s="43"/>
      <c r="T67" s="43"/>
      <c r="U67" s="43"/>
      <c r="V67" s="43"/>
      <c r="W67" s="43"/>
    </row>
    <row r="68" spans="1:23" s="30" customFormat="1" ht="12.75" customHeight="1" x14ac:dyDescent="0.2">
      <c r="A68" s="12"/>
      <c r="B68" s="370"/>
      <c r="C68" s="389"/>
      <c r="D68" s="389"/>
      <c r="E68" s="390"/>
      <c r="F68" s="163"/>
      <c r="G68" s="149">
        <v>0</v>
      </c>
      <c r="H68" s="11" t="str">
        <f t="shared" si="1"/>
        <v/>
      </c>
      <c r="I68" s="43"/>
      <c r="J68" s="43"/>
      <c r="K68" s="43"/>
      <c r="L68" s="43"/>
      <c r="M68" s="43"/>
      <c r="N68" s="43"/>
      <c r="O68" s="43"/>
      <c r="P68" s="43"/>
      <c r="Q68" s="43"/>
      <c r="R68" s="43"/>
      <c r="S68" s="43"/>
      <c r="T68" s="43"/>
      <c r="U68" s="43"/>
      <c r="V68" s="43"/>
      <c r="W68" s="43"/>
    </row>
    <row r="69" spans="1:23" s="30" customFormat="1" ht="12.75" customHeight="1" x14ac:dyDescent="0.2">
      <c r="A69" s="12"/>
      <c r="B69" s="370"/>
      <c r="C69" s="389"/>
      <c r="D69" s="389"/>
      <c r="E69" s="390"/>
      <c r="F69" s="163"/>
      <c r="G69" s="149">
        <v>0</v>
      </c>
      <c r="H69" s="11" t="str">
        <f t="shared" si="1"/>
        <v/>
      </c>
      <c r="I69" s="43"/>
      <c r="J69" s="43"/>
      <c r="K69" s="43"/>
      <c r="L69" s="43"/>
      <c r="M69" s="43"/>
      <c r="N69" s="43"/>
      <c r="O69" s="43"/>
      <c r="P69" s="43"/>
      <c r="Q69" s="43"/>
      <c r="R69" s="43"/>
      <c r="S69" s="43"/>
      <c r="T69" s="43"/>
      <c r="U69" s="43"/>
      <c r="V69" s="43"/>
      <c r="W69" s="43"/>
    </row>
    <row r="70" spans="1:23" s="30" customFormat="1" ht="12.75" customHeight="1" x14ac:dyDescent="0.2">
      <c r="A70" s="12"/>
      <c r="B70" s="391"/>
      <c r="C70" s="392"/>
      <c r="D70" s="392"/>
      <c r="E70" s="393"/>
      <c r="F70" s="163"/>
      <c r="G70" s="162">
        <v>0</v>
      </c>
      <c r="H70" s="11" t="str">
        <f t="shared" si="1"/>
        <v/>
      </c>
      <c r="I70" s="43"/>
      <c r="J70" s="43"/>
      <c r="K70" s="43"/>
      <c r="L70" s="43"/>
      <c r="M70" s="43"/>
      <c r="N70" s="43"/>
      <c r="O70" s="43"/>
      <c r="P70" s="43"/>
      <c r="Q70" s="43"/>
      <c r="R70" s="43"/>
      <c r="S70" s="43"/>
      <c r="T70" s="43"/>
      <c r="U70" s="43"/>
      <c r="V70" s="43"/>
      <c r="W70" s="43"/>
    </row>
    <row r="71" spans="1:23" s="30" customFormat="1" ht="12.75" customHeight="1" x14ac:dyDescent="0.2">
      <c r="A71" s="12" t="str">
        <f>IF(Hulpblad_overig!B8=1,"Namen verschaffers achtergestelde leningen en hoogte lening (€)","Niet van toepassing")</f>
        <v>Namen verschaffers achtergestelde leningen en hoogte lening (€)</v>
      </c>
      <c r="B71" s="12"/>
      <c r="C71" s="163"/>
      <c r="D71" s="163"/>
      <c r="E71" s="163"/>
      <c r="F71" s="163"/>
      <c r="G71" s="166"/>
      <c r="H71" s="16"/>
      <c r="I71" s="43"/>
      <c r="J71" s="43"/>
      <c r="K71" s="43"/>
      <c r="L71" s="43"/>
      <c r="M71" s="43"/>
      <c r="N71" s="43"/>
      <c r="O71" s="43"/>
      <c r="P71" s="43"/>
      <c r="Q71" s="43"/>
      <c r="R71" s="43"/>
      <c r="S71" s="43"/>
      <c r="T71" s="43"/>
      <c r="U71" s="43"/>
      <c r="V71" s="43"/>
      <c r="W71" s="43"/>
    </row>
    <row r="72" spans="1:23" s="30" customFormat="1" ht="12.75" customHeight="1" x14ac:dyDescent="0.2">
      <c r="A72" s="12"/>
      <c r="B72" s="386"/>
      <c r="C72" s="394"/>
      <c r="D72" s="394"/>
      <c r="E72" s="395"/>
      <c r="F72" s="163"/>
      <c r="G72" s="148">
        <v>0</v>
      </c>
      <c r="H72" s="11" t="str">
        <f>IF(G72&gt;0,"Voeg contract achtergestelde lening toe van " &amp;B72&amp;"","")</f>
        <v/>
      </c>
      <c r="I72" s="43"/>
      <c r="J72" s="43"/>
      <c r="K72" s="43"/>
      <c r="L72" s="43"/>
      <c r="M72" s="43"/>
      <c r="N72" s="43"/>
      <c r="O72" s="43"/>
      <c r="P72" s="43"/>
      <c r="Q72" s="43"/>
      <c r="R72" s="43"/>
      <c r="S72" s="43"/>
      <c r="T72" s="43"/>
      <c r="U72" s="43"/>
      <c r="V72" s="43"/>
      <c r="W72" s="43"/>
    </row>
    <row r="73" spans="1:23" s="30" customFormat="1" ht="12.75" customHeight="1" x14ac:dyDescent="0.2">
      <c r="A73" s="12"/>
      <c r="B73" s="370"/>
      <c r="C73" s="389"/>
      <c r="D73" s="389"/>
      <c r="E73" s="390"/>
      <c r="F73" s="163"/>
      <c r="G73" s="149">
        <v>0</v>
      </c>
      <c r="H73" s="11" t="str">
        <f>IF(G73&gt;0,"Voeg contract achtergestelde lening toe van " &amp;B73&amp;"","")</f>
        <v/>
      </c>
      <c r="I73" s="43"/>
      <c r="J73" s="43"/>
      <c r="K73" s="43"/>
      <c r="L73" s="43"/>
      <c r="M73" s="43"/>
      <c r="N73" s="43"/>
      <c r="O73" s="43"/>
      <c r="P73" s="43"/>
      <c r="Q73" s="43"/>
      <c r="R73" s="43"/>
      <c r="S73" s="43"/>
      <c r="T73" s="43"/>
      <c r="U73" s="43"/>
      <c r="V73" s="43"/>
      <c r="W73" s="43"/>
    </row>
    <row r="74" spans="1:23" s="30" customFormat="1" ht="12.75" customHeight="1" x14ac:dyDescent="0.2">
      <c r="A74" s="12"/>
      <c r="B74" s="370"/>
      <c r="C74" s="389"/>
      <c r="D74" s="389"/>
      <c r="E74" s="390"/>
      <c r="F74" s="163"/>
      <c r="G74" s="149">
        <v>0</v>
      </c>
      <c r="H74" s="11" t="str">
        <f>IF(G74&gt;0,"Voeg contract achtergestelde lening toe van " &amp;B74&amp;"","")</f>
        <v/>
      </c>
      <c r="I74" s="43"/>
      <c r="J74" s="43"/>
      <c r="K74" s="43"/>
      <c r="L74" s="43"/>
      <c r="M74" s="43"/>
      <c r="N74" s="43"/>
      <c r="O74" s="43"/>
      <c r="P74" s="43"/>
      <c r="Q74" s="43"/>
      <c r="R74" s="43"/>
      <c r="S74" s="43"/>
      <c r="T74" s="43"/>
      <c r="U74" s="43"/>
      <c r="V74" s="43"/>
      <c r="W74" s="43"/>
    </row>
    <row r="75" spans="1:23" s="30" customFormat="1" ht="12.75" customHeight="1" x14ac:dyDescent="0.2">
      <c r="A75" s="12"/>
      <c r="B75" s="370"/>
      <c r="C75" s="389"/>
      <c r="D75" s="389"/>
      <c r="E75" s="390"/>
      <c r="F75" s="163"/>
      <c r="G75" s="149">
        <v>0</v>
      </c>
      <c r="H75" s="11" t="str">
        <f>IF(G75&gt;0,"Voeg contract achtergestelde lening toe van " &amp;B75&amp;"","")</f>
        <v/>
      </c>
      <c r="I75" s="43"/>
      <c r="J75" s="43"/>
      <c r="K75" s="43"/>
      <c r="L75" s="43"/>
      <c r="M75" s="43"/>
      <c r="N75" s="43"/>
      <c r="O75" s="43"/>
      <c r="P75" s="43"/>
      <c r="Q75" s="43"/>
      <c r="R75" s="43"/>
      <c r="S75" s="43"/>
      <c r="T75" s="43"/>
      <c r="U75" s="43"/>
      <c r="V75" s="43"/>
      <c r="W75" s="43"/>
    </row>
    <row r="76" spans="1:23" s="30" customFormat="1" ht="12.75" customHeight="1" x14ac:dyDescent="0.2">
      <c r="A76" s="12"/>
      <c r="B76" s="391"/>
      <c r="C76" s="392"/>
      <c r="D76" s="392"/>
      <c r="E76" s="393"/>
      <c r="F76" s="163"/>
      <c r="G76" s="162">
        <v>0</v>
      </c>
      <c r="H76" s="11" t="str">
        <f>IF(G76&gt;0,"Voeg contract achtergestelde lening toe van " &amp;B76&amp;"","")</f>
        <v/>
      </c>
      <c r="I76" s="43"/>
      <c r="J76" s="43"/>
      <c r="K76" s="43"/>
      <c r="L76" s="43"/>
      <c r="M76" s="43"/>
      <c r="N76" s="43"/>
      <c r="O76" s="43"/>
      <c r="P76" s="43"/>
      <c r="Q76" s="43"/>
      <c r="R76" s="43"/>
      <c r="S76" s="43"/>
      <c r="T76" s="43"/>
      <c r="U76" s="43"/>
      <c r="V76" s="43"/>
      <c r="W76" s="43"/>
    </row>
    <row r="77" spans="1:23" s="30" customFormat="1" ht="12.75" customHeight="1" x14ac:dyDescent="0.2">
      <c r="A77" s="30" t="str">
        <f>IF(Hulpblad_overig!B8=1,"Totale inbreng van eigen vermogen (€)","Niet van toepassing")</f>
        <v>Totale inbreng van eigen vermogen (€)</v>
      </c>
      <c r="F77" s="163"/>
      <c r="G77" s="42">
        <f>SUM(G55:G76)</f>
        <v>0</v>
      </c>
      <c r="H77" s="11"/>
      <c r="I77" s="43"/>
      <c r="J77" s="43"/>
      <c r="K77" s="43"/>
      <c r="L77" s="43"/>
      <c r="M77" s="43"/>
      <c r="N77" s="43"/>
      <c r="O77" s="43"/>
      <c r="P77" s="43"/>
      <c r="Q77" s="43"/>
      <c r="R77" s="43"/>
      <c r="S77" s="43"/>
      <c r="T77" s="43"/>
      <c r="U77" s="43"/>
      <c r="V77" s="43"/>
      <c r="W77" s="43"/>
    </row>
    <row r="78" spans="1:23" s="30" customFormat="1" ht="12.75" customHeight="1" x14ac:dyDescent="0.2">
      <c r="A78" s="12" t="str">
        <f>IF(Hulpblad_overig!B8=1,"Eigen vermogen in te brengen in dit project of projecten (%)","Niet van toepassing")</f>
        <v>Eigen vermogen in te brengen in dit project of projecten (%)</v>
      </c>
      <c r="B78" s="163"/>
      <c r="C78" s="163"/>
      <c r="D78" s="163"/>
      <c r="G78" s="45" t="e">
        <f>IF(Hulpblad_overig!B8=2,0,G77/G40)</f>
        <v>#DIV/0!</v>
      </c>
      <c r="H78" s="11" t="e">
        <f>IF(AND(Hulpblad_overig!B8=1,$G$78&lt;20%),"U brengt minder dan 20% eigen vermogen in. Voeg intentieverklaringen toe van beoogde financiers voor het totaal benodigde vreemd vermogen","")</f>
        <v>#DIV/0!</v>
      </c>
      <c r="I78" s="43"/>
      <c r="J78" s="43"/>
      <c r="K78" s="43"/>
      <c r="L78" s="43"/>
      <c r="M78" s="43"/>
      <c r="N78" s="43"/>
      <c r="O78" s="43"/>
      <c r="P78" s="43"/>
      <c r="Q78" s="43"/>
      <c r="R78" s="43"/>
      <c r="S78" s="43"/>
      <c r="T78" s="43"/>
      <c r="U78" s="43"/>
      <c r="V78" s="43"/>
      <c r="W78" s="43"/>
    </row>
    <row r="79" spans="1:23" s="30" customFormat="1" ht="12.75" customHeight="1" x14ac:dyDescent="0.2">
      <c r="F79" s="163"/>
      <c r="G79" s="42"/>
      <c r="H79" s="11"/>
      <c r="I79" s="43"/>
      <c r="J79" s="43"/>
      <c r="K79" s="43"/>
      <c r="L79" s="43"/>
      <c r="M79" s="43"/>
      <c r="N79" s="43"/>
      <c r="O79" s="43"/>
      <c r="P79" s="43"/>
      <c r="Q79" s="43"/>
      <c r="R79" s="43"/>
      <c r="S79" s="43"/>
      <c r="T79" s="43"/>
      <c r="U79" s="43"/>
      <c r="V79" s="43"/>
      <c r="W79" s="43"/>
    </row>
    <row r="80" spans="1:23" s="30" customFormat="1" ht="12.75" customHeight="1" x14ac:dyDescent="0.2">
      <c r="G80" s="42"/>
      <c r="H80" s="43"/>
      <c r="I80" s="43"/>
      <c r="J80" s="43"/>
      <c r="K80" s="43"/>
      <c r="L80" s="43"/>
      <c r="M80" s="43"/>
      <c r="N80" s="43"/>
      <c r="O80" s="43"/>
      <c r="P80" s="43"/>
      <c r="Q80" s="43"/>
      <c r="R80" s="43"/>
      <c r="S80" s="43"/>
      <c r="T80" s="43"/>
      <c r="U80" s="43"/>
      <c r="V80" s="43"/>
      <c r="W80" s="43"/>
    </row>
    <row r="81" spans="1:23" s="30" customFormat="1" ht="12.75" customHeight="1" x14ac:dyDescent="0.2">
      <c r="A81" s="30" t="str">
        <f>IF(Hulpblad_overig!B8=1,"Vreemd vermogen of lease","Niet van toepassing")</f>
        <v>Vreemd vermogen of lease</v>
      </c>
      <c r="G81" s="42"/>
      <c r="H81" s="43"/>
      <c r="I81" s="43"/>
      <c r="J81" s="43"/>
      <c r="K81" s="43"/>
      <c r="L81" s="43"/>
      <c r="M81" s="43"/>
      <c r="N81" s="43"/>
      <c r="O81" s="43"/>
      <c r="P81" s="43"/>
      <c r="Q81" s="43"/>
      <c r="R81" s="43"/>
      <c r="S81" s="43"/>
      <c r="T81" s="43"/>
      <c r="U81" s="43"/>
      <c r="V81" s="43"/>
      <c r="W81" s="43"/>
    </row>
    <row r="82" spans="1:23" s="163" customFormat="1" ht="12.75" customHeight="1" x14ac:dyDescent="0.2"/>
    <row r="83" spans="1:23" s="30" customFormat="1" ht="12.75" customHeight="1" x14ac:dyDescent="0.2">
      <c r="A83" s="12" t="str">
        <f>IF(Hulpblad_overig!B8=1,"Namen beoogde financiers (eventueel leasemaatschappij) en hoogte lening (€) (indien van toepassing)","Niet van toepassing")</f>
        <v>Namen beoogde financiers (eventueel leasemaatschappij) en hoogte lening (€) (indien van toepassing)</v>
      </c>
      <c r="B83" s="163"/>
      <c r="C83" s="163"/>
      <c r="D83" s="163"/>
      <c r="E83" s="166"/>
      <c r="G83" s="42"/>
      <c r="H83" s="43"/>
      <c r="I83" s="43"/>
      <c r="J83" s="43"/>
      <c r="K83" s="43"/>
      <c r="L83" s="43"/>
      <c r="M83" s="43"/>
      <c r="N83" s="43"/>
      <c r="O83" s="43"/>
      <c r="P83" s="43"/>
      <c r="Q83" s="43"/>
      <c r="R83" s="43"/>
      <c r="S83" s="43"/>
      <c r="T83" s="43"/>
      <c r="U83" s="43"/>
      <c r="V83" s="43"/>
      <c r="W83" s="43"/>
    </row>
    <row r="84" spans="1:23" s="30" customFormat="1" ht="12.75" customHeight="1" x14ac:dyDescent="0.2">
      <c r="A84" s="12"/>
      <c r="B84" s="386"/>
      <c r="C84" s="387"/>
      <c r="D84" s="387"/>
      <c r="E84" s="388"/>
      <c r="G84" s="148">
        <v>0</v>
      </c>
      <c r="H84" s="11" t="e">
        <f t="shared" ref="H84:H93" si="2">IF(AND(G84&gt;0,$G$78&gt;20%),
"Voeg eventueel contract, offerte of intentieverklaring toe van "&amp;B84&amp;"",
IF(AND($G$78&lt;20%,G84&gt;0),"Voeg contract, offerte of intentieverklaring toe van "&amp;B84&amp;"",""))</f>
        <v>#DIV/0!</v>
      </c>
      <c r="I84" s="43"/>
      <c r="J84" s="43"/>
      <c r="K84" s="43"/>
      <c r="L84" s="43"/>
      <c r="M84" s="43"/>
      <c r="N84" s="43"/>
      <c r="O84" s="43"/>
      <c r="P84" s="43"/>
      <c r="Q84" s="43"/>
      <c r="R84" s="43"/>
      <c r="S84" s="43"/>
      <c r="T84" s="43"/>
      <c r="U84" s="43"/>
      <c r="V84" s="43"/>
      <c r="W84" s="43"/>
    </row>
    <row r="85" spans="1:23" s="30" customFormat="1" ht="12.75" customHeight="1" x14ac:dyDescent="0.2">
      <c r="A85" s="12"/>
      <c r="B85" s="370"/>
      <c r="C85" s="371"/>
      <c r="D85" s="371"/>
      <c r="E85" s="372"/>
      <c r="G85" s="10">
        <v>0</v>
      </c>
      <c r="H85" s="11" t="e">
        <f t="shared" si="2"/>
        <v>#DIV/0!</v>
      </c>
      <c r="I85" s="43"/>
      <c r="J85" s="43"/>
      <c r="K85" s="43"/>
      <c r="L85" s="43"/>
      <c r="M85" s="43"/>
      <c r="N85" s="43"/>
      <c r="O85" s="43"/>
      <c r="P85" s="43"/>
      <c r="Q85" s="43"/>
      <c r="R85" s="43"/>
      <c r="S85" s="43"/>
      <c r="T85" s="43"/>
      <c r="U85" s="43"/>
      <c r="V85" s="43"/>
      <c r="W85" s="43"/>
    </row>
    <row r="86" spans="1:23" s="30" customFormat="1" ht="12.75" customHeight="1" x14ac:dyDescent="0.2">
      <c r="A86" s="12"/>
      <c r="B86" s="370"/>
      <c r="C86" s="371"/>
      <c r="D86" s="371"/>
      <c r="E86" s="372"/>
      <c r="G86" s="10">
        <v>0</v>
      </c>
      <c r="H86" s="11" t="e">
        <f t="shared" si="2"/>
        <v>#DIV/0!</v>
      </c>
      <c r="I86" s="43"/>
      <c r="J86" s="43"/>
      <c r="K86" s="43"/>
      <c r="L86" s="43"/>
      <c r="M86" s="43"/>
      <c r="N86" s="43"/>
      <c r="O86" s="43"/>
      <c r="P86" s="43"/>
      <c r="Q86" s="43"/>
      <c r="R86" s="43"/>
      <c r="S86" s="43"/>
      <c r="T86" s="43"/>
      <c r="U86" s="43"/>
      <c r="V86" s="43"/>
      <c r="W86" s="43"/>
    </row>
    <row r="87" spans="1:23" s="30" customFormat="1" ht="12.75" customHeight="1" x14ac:dyDescent="0.2">
      <c r="A87" s="12"/>
      <c r="B87" s="370"/>
      <c r="C87" s="371"/>
      <c r="D87" s="371"/>
      <c r="E87" s="372"/>
      <c r="G87" s="10">
        <v>0</v>
      </c>
      <c r="H87" s="11" t="e">
        <f t="shared" si="2"/>
        <v>#DIV/0!</v>
      </c>
      <c r="I87" s="43"/>
      <c r="J87" s="43"/>
      <c r="K87" s="43"/>
      <c r="L87" s="43"/>
      <c r="M87" s="43"/>
      <c r="N87" s="43"/>
      <c r="O87" s="43"/>
      <c r="P87" s="43"/>
      <c r="Q87" s="43"/>
      <c r="R87" s="43"/>
      <c r="S87" s="43"/>
      <c r="T87" s="43"/>
      <c r="U87" s="43"/>
      <c r="V87" s="43"/>
      <c r="W87" s="43"/>
    </row>
    <row r="88" spans="1:23" s="30" customFormat="1" ht="12.75" customHeight="1" x14ac:dyDescent="0.2">
      <c r="A88" s="12"/>
      <c r="B88" s="370"/>
      <c r="C88" s="371"/>
      <c r="D88" s="371"/>
      <c r="E88" s="372"/>
      <c r="G88" s="10">
        <v>0</v>
      </c>
      <c r="H88" s="11" t="e">
        <f t="shared" si="2"/>
        <v>#DIV/0!</v>
      </c>
      <c r="I88" s="43"/>
      <c r="J88" s="43"/>
      <c r="K88" s="43"/>
      <c r="L88" s="43"/>
      <c r="M88" s="43"/>
      <c r="N88" s="43"/>
      <c r="O88" s="43"/>
      <c r="P88" s="43"/>
      <c r="Q88" s="43"/>
      <c r="R88" s="43"/>
      <c r="S88" s="43"/>
      <c r="T88" s="43"/>
      <c r="U88" s="43"/>
      <c r="V88" s="43"/>
      <c r="W88" s="43"/>
    </row>
    <row r="89" spans="1:23" s="30" customFormat="1" ht="12.75" customHeight="1" x14ac:dyDescent="0.2">
      <c r="A89" s="12"/>
      <c r="B89" s="370"/>
      <c r="C89" s="389"/>
      <c r="D89" s="389"/>
      <c r="E89" s="390"/>
      <c r="G89" s="149">
        <v>0</v>
      </c>
      <c r="H89" s="11" t="e">
        <f t="shared" si="2"/>
        <v>#DIV/0!</v>
      </c>
      <c r="I89" s="43"/>
      <c r="J89" s="43"/>
      <c r="K89" s="43"/>
      <c r="L89" s="43"/>
      <c r="M89" s="43"/>
      <c r="N89" s="43"/>
      <c r="O89" s="43"/>
      <c r="P89" s="43"/>
      <c r="Q89" s="43"/>
      <c r="R89" s="43"/>
      <c r="S89" s="43"/>
      <c r="T89" s="43"/>
      <c r="U89" s="43"/>
      <c r="V89" s="43"/>
      <c r="W89" s="43"/>
    </row>
    <row r="90" spans="1:23" s="30" customFormat="1" ht="12.75" customHeight="1" x14ac:dyDescent="0.2">
      <c r="A90" s="12"/>
      <c r="B90" s="370"/>
      <c r="C90" s="389"/>
      <c r="D90" s="389"/>
      <c r="E90" s="390"/>
      <c r="G90" s="149">
        <v>0</v>
      </c>
      <c r="H90" s="11" t="e">
        <f t="shared" si="2"/>
        <v>#DIV/0!</v>
      </c>
      <c r="I90" s="43"/>
      <c r="J90" s="43"/>
      <c r="K90" s="43"/>
      <c r="L90" s="43"/>
      <c r="M90" s="43"/>
      <c r="N90" s="43"/>
      <c r="O90" s="43"/>
      <c r="P90" s="43"/>
      <c r="Q90" s="43"/>
      <c r="R90" s="43"/>
      <c r="S90" s="43"/>
      <c r="T90" s="43"/>
      <c r="U90" s="43"/>
      <c r="V90" s="43"/>
      <c r="W90" s="43"/>
    </row>
    <row r="91" spans="1:23" s="30" customFormat="1" ht="12.75" customHeight="1" x14ac:dyDescent="0.2">
      <c r="A91" s="12"/>
      <c r="B91" s="370"/>
      <c r="C91" s="389"/>
      <c r="D91" s="389"/>
      <c r="E91" s="390"/>
      <c r="G91" s="149">
        <v>0</v>
      </c>
      <c r="H91" s="11" t="e">
        <f t="shared" si="2"/>
        <v>#DIV/0!</v>
      </c>
      <c r="I91" s="43"/>
      <c r="J91" s="43"/>
      <c r="K91" s="43"/>
      <c r="L91" s="43"/>
      <c r="M91" s="43"/>
      <c r="N91" s="43"/>
      <c r="O91" s="43"/>
      <c r="P91" s="43"/>
      <c r="Q91" s="43"/>
      <c r="R91" s="43"/>
      <c r="S91" s="43"/>
      <c r="T91" s="43"/>
      <c r="U91" s="43"/>
      <c r="V91" s="43"/>
      <c r="W91" s="43"/>
    </row>
    <row r="92" spans="1:23" s="30" customFormat="1" ht="12.75" customHeight="1" x14ac:dyDescent="0.2">
      <c r="A92" s="12"/>
      <c r="B92" s="370"/>
      <c r="C92" s="389"/>
      <c r="D92" s="389"/>
      <c r="E92" s="390"/>
      <c r="G92" s="149">
        <v>0</v>
      </c>
      <c r="H92" s="11" t="e">
        <f t="shared" si="2"/>
        <v>#DIV/0!</v>
      </c>
      <c r="I92" s="43"/>
      <c r="J92" s="43"/>
      <c r="K92" s="43"/>
      <c r="L92" s="43"/>
      <c r="M92" s="43"/>
      <c r="N92" s="43"/>
      <c r="O92" s="43"/>
      <c r="P92" s="43"/>
      <c r="Q92" s="43"/>
      <c r="R92" s="43"/>
      <c r="S92" s="43"/>
      <c r="T92" s="43"/>
      <c r="U92" s="43"/>
      <c r="V92" s="43"/>
      <c r="W92" s="43"/>
    </row>
    <row r="93" spans="1:23" s="163" customFormat="1" ht="12.75" customHeight="1" x14ac:dyDescent="0.2">
      <c r="B93" s="391"/>
      <c r="C93" s="392"/>
      <c r="D93" s="392"/>
      <c r="E93" s="393"/>
      <c r="G93" s="162">
        <v>0</v>
      </c>
      <c r="H93" s="11" t="e">
        <f t="shared" si="2"/>
        <v>#DIV/0!</v>
      </c>
      <c r="I93" s="167"/>
      <c r="J93" s="167"/>
      <c r="K93" s="167"/>
      <c r="L93" s="167"/>
      <c r="M93" s="167"/>
      <c r="N93" s="167"/>
      <c r="O93" s="167"/>
      <c r="P93" s="167"/>
      <c r="Q93" s="167"/>
      <c r="R93" s="167"/>
      <c r="S93" s="167"/>
      <c r="T93" s="167"/>
      <c r="U93" s="167"/>
      <c r="V93" s="167"/>
    </row>
    <row r="94" spans="1:23" s="163" customFormat="1" ht="12.75" customHeight="1" x14ac:dyDescent="0.2">
      <c r="A94" s="30" t="str">
        <f>IF(Hulpblad_overig!B8=1,"Totaal van het gespecificeerde vreemd vermogen","Niet van toepassing")</f>
        <v>Totaal van het gespecificeerde vreemd vermogen</v>
      </c>
      <c r="G94" s="42">
        <f>SUM(G84:G93)</f>
        <v>0</v>
      </c>
      <c r="H94" s="11"/>
    </row>
    <row r="95" spans="1:23" s="163" customFormat="1" ht="12.75" customHeight="1" x14ac:dyDescent="0.2">
      <c r="A95" s="30" t="str">
        <f>IF(Hulpblad_overig!B8=1,"Ongespecificeerde rest van het vreemd vermogen","Niet van toepassing")</f>
        <v>Ongespecificeerde rest van het vreemd vermogen</v>
      </c>
      <c r="G95" s="42">
        <f>IF(Hulpblad_overig!B8=1,G40-G77-G94,0)</f>
        <v>0</v>
      </c>
      <c r="H95" s="11" t="e">
        <f>IF(Hulpblad_overig!B8=1,IF($G$78&lt;20%,"U brengt minder dan 20% eigen vermogen in. Ongespecificeerde rest moet nul zijn",""),"")</f>
        <v>#DIV/0!</v>
      </c>
    </row>
    <row r="96" spans="1:23" s="163" customFormat="1" ht="12.75" customHeight="1" x14ac:dyDescent="0.2">
      <c r="G96" s="42"/>
      <c r="H96" s="11"/>
    </row>
    <row r="97" spans="1:23" s="30" customFormat="1" ht="12.75" customHeight="1" x14ac:dyDescent="0.2">
      <c r="A97" s="12" t="str">
        <f>IF(Hulpblad_overig!B8=1,"Vreemd vermogen (%)","Niet van toepassing")</f>
        <v>Vreemd vermogen (%)</v>
      </c>
      <c r="B97" s="163"/>
      <c r="C97" s="163"/>
      <c r="D97" s="163"/>
      <c r="G97" s="46" t="e">
        <f>(G94+G95)/G40</f>
        <v>#DIV/0!</v>
      </c>
      <c r="H97" s="43"/>
      <c r="I97" s="43"/>
      <c r="J97" s="43"/>
      <c r="K97" s="43"/>
      <c r="L97" s="43"/>
      <c r="M97" s="43"/>
      <c r="N97" s="43"/>
      <c r="O97" s="43"/>
      <c r="P97" s="43"/>
      <c r="Q97" s="43"/>
      <c r="R97" s="43"/>
      <c r="S97" s="43"/>
      <c r="T97" s="43"/>
      <c r="U97" s="43"/>
      <c r="V97" s="43"/>
      <c r="W97" s="43"/>
    </row>
    <row r="98" spans="1:23" s="30" customFormat="1" ht="12.75" customHeight="1" x14ac:dyDescent="0.2">
      <c r="A98" s="12" t="str">
        <f>IF(Hulpblad_overig!B8=1,"Totaal vreemd vermogen (€)","Niet van toepassing")</f>
        <v>Totaal vreemd vermogen (€)</v>
      </c>
      <c r="B98" s="163"/>
      <c r="C98" s="163"/>
      <c r="D98" s="163"/>
      <c r="G98" s="166" t="e">
        <f>G40*G97</f>
        <v>#DIV/0!</v>
      </c>
      <c r="H98" s="43"/>
      <c r="I98" s="43"/>
      <c r="J98" s="43"/>
      <c r="K98" s="43"/>
      <c r="L98" s="43"/>
      <c r="M98" s="43"/>
      <c r="N98" s="43"/>
      <c r="O98" s="43"/>
      <c r="P98" s="43"/>
      <c r="Q98" s="43"/>
      <c r="R98" s="43"/>
      <c r="S98" s="43"/>
      <c r="T98" s="43"/>
      <c r="U98" s="43"/>
      <c r="V98" s="43"/>
      <c r="W98" s="43"/>
    </row>
    <row r="99" spans="1:23" s="163" customFormat="1" ht="12.75" customHeight="1" x14ac:dyDescent="0.2">
      <c r="G99" s="42"/>
      <c r="H99" s="11"/>
    </row>
    <row r="100" spans="1:23" s="163" customFormat="1" ht="12.75" customHeight="1" x14ac:dyDescent="0.2">
      <c r="A100" s="30" t="s">
        <v>35</v>
      </c>
    </row>
    <row r="101" spans="1:23" ht="137.25" customHeight="1" x14ac:dyDescent="0.25">
      <c r="A101" s="396"/>
      <c r="B101" s="397"/>
      <c r="C101" s="397"/>
      <c r="D101" s="397"/>
      <c r="E101" s="397"/>
      <c r="F101" s="398"/>
      <c r="G101" s="399"/>
    </row>
  </sheetData>
  <sheetProtection algorithmName="SHA-512" hashValue="hpZKLaH9qb1AvLhYooNJy1SpMdovfyKkgZKX2l/nH+pMCwu1as+zr9xJnD7KQIjc/XYGyIcLzOQBsA3/3tiBIQ==" saltValue="HoeeF25md9sLKQGOr6SRlw==" spinCount="100000" sheet="1" objects="1" scenarios="1"/>
  <mergeCells count="42">
    <mergeCell ref="A101:G101"/>
    <mergeCell ref="B76:E76"/>
    <mergeCell ref="B84:E84"/>
    <mergeCell ref="B85:E85"/>
    <mergeCell ref="B86:E86"/>
    <mergeCell ref="B87:E87"/>
    <mergeCell ref="B88:E88"/>
    <mergeCell ref="B89:E89"/>
    <mergeCell ref="B90:E90"/>
    <mergeCell ref="B91:E91"/>
    <mergeCell ref="B92:E92"/>
    <mergeCell ref="B93:E93"/>
    <mergeCell ref="B75:E75"/>
    <mergeCell ref="B63:E63"/>
    <mergeCell ref="B64:E64"/>
    <mergeCell ref="B65:E65"/>
    <mergeCell ref="B66:E66"/>
    <mergeCell ref="B67:E67"/>
    <mergeCell ref="B68:E68"/>
    <mergeCell ref="B69:E69"/>
    <mergeCell ref="B70:E70"/>
    <mergeCell ref="B72:E72"/>
    <mergeCell ref="B73:E73"/>
    <mergeCell ref="B74:E74"/>
    <mergeCell ref="B62:E62"/>
    <mergeCell ref="B33:E33"/>
    <mergeCell ref="B34:E34"/>
    <mergeCell ref="B35:E35"/>
    <mergeCell ref="B36:E36"/>
    <mergeCell ref="B37:E37"/>
    <mergeCell ref="B38:E38"/>
    <mergeCell ref="B39:E39"/>
    <mergeCell ref="A47:E47"/>
    <mergeCell ref="B51:E51"/>
    <mergeCell ref="B56:E56"/>
    <mergeCell ref="B61:E61"/>
    <mergeCell ref="B32:E32"/>
    <mergeCell ref="B7:E7"/>
    <mergeCell ref="B22:G22"/>
    <mergeCell ref="B25:G25"/>
    <mergeCell ref="B30:E30"/>
    <mergeCell ref="B31:E31"/>
  </mergeCells>
  <conditionalFormatting sqref="B51:E51">
    <cfRule type="expression" dxfId="261" priority="61" stopIfTrue="1">
      <formula>A10="U maakt gebruik van balansfinanciering"</formula>
    </cfRule>
  </conditionalFormatting>
  <conditionalFormatting sqref="B61:E61">
    <cfRule type="expression" dxfId="260" priority="57" stopIfTrue="1">
      <formula>A10="U maakt gebruik van balansfinanciering"</formula>
    </cfRule>
  </conditionalFormatting>
  <conditionalFormatting sqref="B62:E62">
    <cfRule type="expression" dxfId="259" priority="54" stopIfTrue="1">
      <formula>A10="U maakt gebruik van balansfinanciering"</formula>
    </cfRule>
  </conditionalFormatting>
  <conditionalFormatting sqref="B63:E63">
    <cfRule type="expression" dxfId="258" priority="53" stopIfTrue="1">
      <formula>A10="U maakt gebruik van balansfinanciering"</formula>
    </cfRule>
  </conditionalFormatting>
  <conditionalFormatting sqref="B64:E64">
    <cfRule type="expression" dxfId="257" priority="52" stopIfTrue="1">
      <formula>A10="U maakt gebruik van balansfinanciering"</formula>
    </cfRule>
  </conditionalFormatting>
  <conditionalFormatting sqref="B65:E65">
    <cfRule type="expression" dxfId="256" priority="51" stopIfTrue="1">
      <formula>A10="U maakt gebruik van balansfinanciering"</formula>
    </cfRule>
  </conditionalFormatting>
  <conditionalFormatting sqref="B66:E66">
    <cfRule type="expression" dxfId="255" priority="50" stopIfTrue="1">
      <formula>A10="U maakt gebruik van balansfinanciering"</formula>
    </cfRule>
  </conditionalFormatting>
  <conditionalFormatting sqref="B67:E67">
    <cfRule type="expression" dxfId="254" priority="49" stopIfTrue="1">
      <formula>A10="U maakt gebruik van balansfinanciering"</formula>
    </cfRule>
  </conditionalFormatting>
  <conditionalFormatting sqref="B68:E68">
    <cfRule type="expression" dxfId="253" priority="48" stopIfTrue="1">
      <formula>A10="U maakt gebruik van balansfinanciering"</formula>
    </cfRule>
  </conditionalFormatting>
  <conditionalFormatting sqref="B69:E69">
    <cfRule type="expression" dxfId="252" priority="47" stopIfTrue="1">
      <formula>A10="U maakt gebruik van balansfinanciering"</formula>
    </cfRule>
  </conditionalFormatting>
  <conditionalFormatting sqref="B70:E70">
    <cfRule type="expression" dxfId="251" priority="46" stopIfTrue="1">
      <formula>A10="U maakt gebruik van balansfinanciering"</formula>
    </cfRule>
  </conditionalFormatting>
  <conditionalFormatting sqref="B72:E72">
    <cfRule type="expression" dxfId="250" priority="35" stopIfTrue="1">
      <formula>A10="U maakt gebruik van balansfinanciering"</formula>
    </cfRule>
  </conditionalFormatting>
  <conditionalFormatting sqref="B73:E73">
    <cfRule type="expression" dxfId="249" priority="34" stopIfTrue="1">
      <formula>A10="U maakt gebruik van balansfinanciering"</formula>
    </cfRule>
  </conditionalFormatting>
  <conditionalFormatting sqref="B74:E74">
    <cfRule type="expression" dxfId="248" priority="33" stopIfTrue="1">
      <formula>A10="U maakt gebruik van balansfinanciering"</formula>
    </cfRule>
  </conditionalFormatting>
  <conditionalFormatting sqref="B75:E75">
    <cfRule type="expression" dxfId="247" priority="32" stopIfTrue="1">
      <formula>A10="U maakt gebruik van balansfinanciering"</formula>
    </cfRule>
  </conditionalFormatting>
  <conditionalFormatting sqref="B76:E76">
    <cfRule type="expression" dxfId="246" priority="31" stopIfTrue="1">
      <formula>A10="U maakt gebruik van balansfinanciering"</formula>
    </cfRule>
  </conditionalFormatting>
  <conditionalFormatting sqref="B84:E84">
    <cfRule type="expression" dxfId="245" priority="24" stopIfTrue="1">
      <formula>A10="U maakt gebruik van balansfinanciering"</formula>
    </cfRule>
  </conditionalFormatting>
  <conditionalFormatting sqref="B85:E85">
    <cfRule type="expression" dxfId="244" priority="23" stopIfTrue="1">
      <formula>A10="U maakt gebruik van balansfinanciering"</formula>
    </cfRule>
  </conditionalFormatting>
  <conditionalFormatting sqref="B86:E86">
    <cfRule type="expression" dxfId="243" priority="22" stopIfTrue="1">
      <formula>A10="U maakt gebruik van balansfinanciering"</formula>
    </cfRule>
  </conditionalFormatting>
  <conditionalFormatting sqref="B87:E87">
    <cfRule type="expression" dxfId="242" priority="21" stopIfTrue="1">
      <formula>A10="U maakt gebruik van balansfinanciering"</formula>
    </cfRule>
  </conditionalFormatting>
  <conditionalFormatting sqref="B88:E88">
    <cfRule type="expression" dxfId="241" priority="20" stopIfTrue="1">
      <formula>A10="U maakt gebruik van balansfinanciering"</formula>
    </cfRule>
  </conditionalFormatting>
  <conditionalFormatting sqref="B89:E89">
    <cfRule type="expression" dxfId="240" priority="19" stopIfTrue="1">
      <formula>A10="U maakt gebruik van balansfinanciering"</formula>
    </cfRule>
  </conditionalFormatting>
  <conditionalFormatting sqref="B90:E90">
    <cfRule type="expression" dxfId="239" priority="18" stopIfTrue="1">
      <formula>A10="U maakt gebruik van balansfinanciering"</formula>
    </cfRule>
  </conditionalFormatting>
  <conditionalFormatting sqref="B91:E91">
    <cfRule type="expression" dxfId="238" priority="17" stopIfTrue="1">
      <formula>A10="U maakt gebruik van balansfinanciering"</formula>
    </cfRule>
  </conditionalFormatting>
  <conditionalFormatting sqref="B92:E92">
    <cfRule type="expression" priority="16" stopIfTrue="1">
      <formula>A10="U maakt gebruik van balansfinanciering"</formula>
    </cfRule>
    <cfRule type="expression" dxfId="237" priority="15" stopIfTrue="1">
      <formula>A10="U maakt gebruik van balansfinanciering"</formula>
    </cfRule>
  </conditionalFormatting>
  <conditionalFormatting sqref="B93:E93">
    <cfRule type="expression" dxfId="236" priority="14" stopIfTrue="1">
      <formula>A10="U maakt gebruik van balansfinanciering"</formula>
    </cfRule>
  </conditionalFormatting>
  <conditionalFormatting sqref="E11">
    <cfRule type="expression" dxfId="235" priority="56" stopIfTrue="1">
      <formula>A10="U maakt gebruik van projectfinanciering, u kunt regel 11 t/m 13 overslaan"</formula>
    </cfRule>
  </conditionalFormatting>
  <conditionalFormatting sqref="E11:E12">
    <cfRule type="expression" dxfId="234" priority="1">
      <formula>A11="Niet van toepassing"</formula>
    </cfRule>
  </conditionalFormatting>
  <conditionalFormatting sqref="E12">
    <cfRule type="expression" dxfId="233" priority="55" stopIfTrue="1">
      <formula>A10="U maakt gebruik van projectfinanciering, u kunt regel 11 t/m 13 overslaan"</formula>
    </cfRule>
  </conditionalFormatting>
  <conditionalFormatting sqref="G51">
    <cfRule type="expression" dxfId="232" priority="60" stopIfTrue="1">
      <formula>A10="U maakt gebruik van balansfinanciering"</formula>
    </cfRule>
  </conditionalFormatting>
  <conditionalFormatting sqref="G55">
    <cfRule type="expression" dxfId="231" priority="59" stopIfTrue="1">
      <formula>A10="U maakt gebruik van balansfinanciering"</formula>
    </cfRule>
  </conditionalFormatting>
  <conditionalFormatting sqref="G58">
    <cfRule type="expression" dxfId="230" priority="58" stopIfTrue="1">
      <formula>A10="U maakt gebruik van balansfinanciering"</formula>
    </cfRule>
  </conditionalFormatting>
  <conditionalFormatting sqref="G61">
    <cfRule type="expression" dxfId="229" priority="45" stopIfTrue="1">
      <formula>A10="U maakt gebruik van balansfinanciering"</formula>
    </cfRule>
  </conditionalFormatting>
  <conditionalFormatting sqref="G62">
    <cfRule type="expression" dxfId="228" priority="44" stopIfTrue="1">
      <formula>A10="U maakt gebruik van balansfinanciering"</formula>
    </cfRule>
  </conditionalFormatting>
  <conditionalFormatting sqref="G63">
    <cfRule type="expression" dxfId="227" priority="43" stopIfTrue="1">
      <formula>A10="U maakt gebruik van balansfinanciering"</formula>
    </cfRule>
  </conditionalFormatting>
  <conditionalFormatting sqref="G64">
    <cfRule type="expression" dxfId="226" priority="42" stopIfTrue="1">
      <formula>A10="U maakt gebruik van balansfinanciering"</formula>
    </cfRule>
  </conditionalFormatting>
  <conditionalFormatting sqref="G65">
    <cfRule type="expression" dxfId="225" priority="41" stopIfTrue="1">
      <formula>A10="U maakt gebruik van balansfinanciering"</formula>
    </cfRule>
  </conditionalFormatting>
  <conditionalFormatting sqref="G66">
    <cfRule type="expression" dxfId="224" priority="40" stopIfTrue="1">
      <formula>A10="U maakt gebruik van balansfinanciering"</formula>
    </cfRule>
  </conditionalFormatting>
  <conditionalFormatting sqref="G67">
    <cfRule type="expression" dxfId="223" priority="39" stopIfTrue="1">
      <formula>A10="U maakt gebruik van balansfinanciering"</formula>
    </cfRule>
  </conditionalFormatting>
  <conditionalFormatting sqref="G68">
    <cfRule type="expression" dxfId="222" priority="38" stopIfTrue="1">
      <formula>A10="U maakt gebruik van balansfinanciering"</formula>
    </cfRule>
  </conditionalFormatting>
  <conditionalFormatting sqref="G69">
    <cfRule type="expression" dxfId="221" priority="37" stopIfTrue="1">
      <formula>A10="U maakt gebruik van balansfinanciering"</formula>
    </cfRule>
  </conditionalFormatting>
  <conditionalFormatting sqref="G70">
    <cfRule type="expression" dxfId="220" priority="36" stopIfTrue="1">
      <formula>A10="U maakt gebruik van balansfinanciering"</formula>
    </cfRule>
  </conditionalFormatting>
  <conditionalFormatting sqref="G72">
    <cfRule type="expression" dxfId="219" priority="30" stopIfTrue="1">
      <formula>A10="U maakt gebruik van balansfinanciering"</formula>
    </cfRule>
  </conditionalFormatting>
  <conditionalFormatting sqref="G73">
    <cfRule type="expression" priority="29" stopIfTrue="1">
      <formula>A10="U maakt gebruik van balansfinanciering"</formula>
    </cfRule>
    <cfRule type="expression" dxfId="218" priority="28" stopIfTrue="1">
      <formula>A10="U maakt gebruik van balansfinanciering"</formula>
    </cfRule>
  </conditionalFormatting>
  <conditionalFormatting sqref="G74">
    <cfRule type="expression" dxfId="217" priority="27" stopIfTrue="1">
      <formula>A10="U maakt gebruik van balansfinanciering"</formula>
    </cfRule>
  </conditionalFormatting>
  <conditionalFormatting sqref="G75">
    <cfRule type="expression" dxfId="216" priority="26" stopIfTrue="1">
      <formula>A10="U maakt gebruik van balansfinanciering"</formula>
    </cfRule>
  </conditionalFormatting>
  <conditionalFormatting sqref="G76">
    <cfRule type="expression" dxfId="215" priority="25" stopIfTrue="1">
      <formula>A10="U maakt gebruik van balansfinanciering"</formula>
    </cfRule>
  </conditionalFormatting>
  <conditionalFormatting sqref="G84">
    <cfRule type="expression" dxfId="214" priority="13" stopIfTrue="1">
      <formula>A10="U maakt gebruik van balansfinanciering"</formula>
    </cfRule>
  </conditionalFormatting>
  <conditionalFormatting sqref="G85">
    <cfRule type="expression" dxfId="213" priority="12" stopIfTrue="1">
      <formula>A10="U maakt gebruik van balansfinanciering"</formula>
    </cfRule>
  </conditionalFormatting>
  <conditionalFormatting sqref="G86">
    <cfRule type="expression" dxfId="212" priority="11" stopIfTrue="1">
      <formula>A10="U maakt gebruik van balansfinanciering"</formula>
    </cfRule>
  </conditionalFormatting>
  <conditionalFormatting sqref="G87">
    <cfRule type="expression" dxfId="211" priority="10" stopIfTrue="1">
      <formula>A10="U maakt gebruik van balansfinanciering"</formula>
    </cfRule>
  </conditionalFormatting>
  <conditionalFormatting sqref="G88">
    <cfRule type="expression" dxfId="210" priority="9" stopIfTrue="1">
      <formula>A10="U maakt gebruik van balansfinanciering"</formula>
    </cfRule>
  </conditionalFormatting>
  <conditionalFormatting sqref="G89">
    <cfRule type="expression" dxfId="209" priority="8" stopIfTrue="1">
      <formula>A10="U maakt gebruik van balansfinanciering"</formula>
    </cfRule>
  </conditionalFormatting>
  <conditionalFormatting sqref="G90">
    <cfRule type="expression" dxfId="208" priority="7" stopIfTrue="1">
      <formula>A10="U maakt gebruik van balansfinanciering"</formula>
    </cfRule>
  </conditionalFormatting>
  <conditionalFormatting sqref="G91">
    <cfRule type="expression" dxfId="207" priority="6" stopIfTrue="1">
      <formula>A10="U maakt gebruik van balansfinanciering"</formula>
    </cfRule>
  </conditionalFormatting>
  <conditionalFormatting sqref="G92">
    <cfRule type="expression" dxfId="206" priority="5" stopIfTrue="1">
      <formula>A10="U maakt gebruik van balansfinanciering"</formula>
    </cfRule>
  </conditionalFormatting>
  <conditionalFormatting sqref="G93">
    <cfRule type="expression" dxfId="205" priority="3" stopIfTrue="1">
      <formula>A10="U maakt gebruik van balansfinanciering"</formula>
    </cfRule>
    <cfRule type="expression" priority="4" stopIfTrue="1">
      <formula>A10="U maakt gebruik van balansfinanciering"</formula>
    </cfRule>
  </conditionalFormatting>
  <pageMargins left="0.7" right="0.7" top="0.75" bottom="0.75" header="0.3" footer="0.3"/>
  <pageSetup paperSize="9" orientation="portrait" r:id="rId1"/>
  <ignoredErrors>
    <ignoredError sqref="H84:H93 G97:G98 H13 E13"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2049" r:id="rId4" name="List Box 1">
              <controlPr defaultSize="0" autoLine="0" autoPict="0">
                <anchor moveWithCells="1" sizeWithCells="1">
                  <from>
                    <xdr:col>4</xdr:col>
                    <xdr:colOff>0</xdr:colOff>
                    <xdr:row>14</xdr:row>
                    <xdr:rowOff>28575</xdr:rowOff>
                  </from>
                  <to>
                    <xdr:col>5</xdr:col>
                    <xdr:colOff>19050</xdr:colOff>
                    <xdr:row>16</xdr:row>
                    <xdr:rowOff>142875</xdr:rowOff>
                  </to>
                </anchor>
              </controlPr>
            </control>
          </mc:Choice>
        </mc:AlternateContent>
        <mc:AlternateContent xmlns:mc="http://schemas.openxmlformats.org/markup-compatibility/2006">
          <mc:Choice Requires="x14">
            <control shapeId="2050" r:id="rId5" name="List Box 2">
              <controlPr defaultSize="0" autoLine="0" autoPict="0">
                <anchor moveWithCells="1" sizeWithCells="1">
                  <from>
                    <xdr:col>5</xdr:col>
                    <xdr:colOff>695325</xdr:colOff>
                    <xdr:row>51</xdr:row>
                    <xdr:rowOff>47625</xdr:rowOff>
                  </from>
                  <to>
                    <xdr:col>7</xdr:col>
                    <xdr:colOff>19050</xdr:colOff>
                    <xdr:row>53</xdr:row>
                    <xdr:rowOff>28575</xdr:rowOff>
                  </to>
                </anchor>
              </controlPr>
            </control>
          </mc:Choice>
        </mc:AlternateContent>
        <mc:AlternateContent xmlns:mc="http://schemas.openxmlformats.org/markup-compatibility/2006">
          <mc:Choice Requires="x14">
            <control shapeId="2051" r:id="rId6" name="List Box 3">
              <controlPr defaultSize="0" autoLine="0" autoPict="0">
                <anchor moveWithCells="1" sizeWithCells="1">
                  <from>
                    <xdr:col>4</xdr:col>
                    <xdr:colOff>1362075</xdr:colOff>
                    <xdr:row>7</xdr:row>
                    <xdr:rowOff>28575</xdr:rowOff>
                  </from>
                  <to>
                    <xdr:col>5</xdr:col>
                    <xdr:colOff>0</xdr:colOff>
                    <xdr:row>7</xdr:row>
                    <xdr:rowOff>323850</xdr:rowOff>
                  </to>
                </anchor>
              </controlPr>
            </control>
          </mc:Choice>
        </mc:AlternateContent>
        <mc:AlternateContent xmlns:mc="http://schemas.openxmlformats.org/markup-compatibility/2006">
          <mc:Choice Requires="x14">
            <control shapeId="2052" r:id="rId7" name="List Box 4">
              <controlPr defaultSize="0" autoLine="0" autoPict="0">
                <anchor moveWithCells="1" sizeWithCells="1">
                  <from>
                    <xdr:col>4</xdr:col>
                    <xdr:colOff>1352550</xdr:colOff>
                    <xdr:row>8</xdr:row>
                    <xdr:rowOff>28575</xdr:rowOff>
                  </from>
                  <to>
                    <xdr:col>5</xdr:col>
                    <xdr:colOff>0</xdr:colOff>
                    <xdr:row>8</xdr:row>
                    <xdr:rowOff>323850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DC2FF5-AF27-41AE-9954-F12D4355F81A}">
  <dimension ref="A1:S158"/>
  <sheetViews>
    <sheetView zoomScaleNormal="100" workbookViewId="0">
      <selection activeCell="F9" sqref="F9"/>
    </sheetView>
  </sheetViews>
  <sheetFormatPr defaultColWidth="8.7109375" defaultRowHeight="15" x14ac:dyDescent="0.25"/>
  <cols>
    <col min="1" max="1" width="55.7109375" style="4" customWidth="1"/>
    <col min="2" max="3" width="8.7109375" style="30"/>
    <col min="4" max="4" width="10.7109375" style="4" customWidth="1"/>
    <col min="5" max="5" width="116.140625" style="4" customWidth="1"/>
    <col min="6" max="6" width="76.5703125" style="4" customWidth="1"/>
    <col min="7" max="7" width="14" style="4" bestFit="1" customWidth="1"/>
    <col min="8" max="14" width="12.7109375" style="4" customWidth="1"/>
    <col min="15" max="15" width="13.7109375" style="4" customWidth="1"/>
    <col min="16" max="16" width="12.42578125" style="4" customWidth="1"/>
    <col min="17" max="256" width="8.7109375" style="4"/>
    <col min="257" max="257" width="55.7109375" style="4" customWidth="1"/>
    <col min="258" max="259" width="8.7109375" style="4"/>
    <col min="260" max="260" width="10.7109375" style="4" customWidth="1"/>
    <col min="261" max="261" width="110.28515625" style="4" customWidth="1"/>
    <col min="262" max="262" width="76.5703125" style="4" customWidth="1"/>
    <col min="263" max="263" width="14" style="4" bestFit="1" customWidth="1"/>
    <col min="264" max="270" width="12.7109375" style="4" customWidth="1"/>
    <col min="271" max="271" width="13.7109375" style="4" customWidth="1"/>
    <col min="272" max="272" width="12.42578125" style="4" customWidth="1"/>
    <col min="273" max="512" width="8.7109375" style="4"/>
    <col min="513" max="513" width="55.7109375" style="4" customWidth="1"/>
    <col min="514" max="515" width="8.7109375" style="4"/>
    <col min="516" max="516" width="10.7109375" style="4" customWidth="1"/>
    <col min="517" max="517" width="110.28515625" style="4" customWidth="1"/>
    <col min="518" max="518" width="76.5703125" style="4" customWidth="1"/>
    <col min="519" max="519" width="14" style="4" bestFit="1" customWidth="1"/>
    <col min="520" max="526" width="12.7109375" style="4" customWidth="1"/>
    <col min="527" max="527" width="13.7109375" style="4" customWidth="1"/>
    <col min="528" max="528" width="12.42578125" style="4" customWidth="1"/>
    <col min="529" max="768" width="8.7109375" style="4"/>
    <col min="769" max="769" width="55.7109375" style="4" customWidth="1"/>
    <col min="770" max="771" width="8.7109375" style="4"/>
    <col min="772" max="772" width="10.7109375" style="4" customWidth="1"/>
    <col min="773" max="773" width="110.28515625" style="4" customWidth="1"/>
    <col min="774" max="774" width="76.5703125" style="4" customWidth="1"/>
    <col min="775" max="775" width="14" style="4" bestFit="1" customWidth="1"/>
    <col min="776" max="782" width="12.7109375" style="4" customWidth="1"/>
    <col min="783" max="783" width="13.7109375" style="4" customWidth="1"/>
    <col min="784" max="784" width="12.42578125" style="4" customWidth="1"/>
    <col min="785" max="1024" width="8.7109375" style="4"/>
    <col min="1025" max="1025" width="55.7109375" style="4" customWidth="1"/>
    <col min="1026" max="1027" width="8.7109375" style="4"/>
    <col min="1028" max="1028" width="10.7109375" style="4" customWidth="1"/>
    <col min="1029" max="1029" width="110.28515625" style="4" customWidth="1"/>
    <col min="1030" max="1030" width="76.5703125" style="4" customWidth="1"/>
    <col min="1031" max="1031" width="14" style="4" bestFit="1" customWidth="1"/>
    <col min="1032" max="1038" width="12.7109375" style="4" customWidth="1"/>
    <col min="1039" max="1039" width="13.7109375" style="4" customWidth="1"/>
    <col min="1040" max="1040" width="12.42578125" style="4" customWidth="1"/>
    <col min="1041" max="1280" width="8.7109375" style="4"/>
    <col min="1281" max="1281" width="55.7109375" style="4" customWidth="1"/>
    <col min="1282" max="1283" width="8.7109375" style="4"/>
    <col min="1284" max="1284" width="10.7109375" style="4" customWidth="1"/>
    <col min="1285" max="1285" width="110.28515625" style="4" customWidth="1"/>
    <col min="1286" max="1286" width="76.5703125" style="4" customWidth="1"/>
    <col min="1287" max="1287" width="14" style="4" bestFit="1" customWidth="1"/>
    <col min="1288" max="1294" width="12.7109375" style="4" customWidth="1"/>
    <col min="1295" max="1295" width="13.7109375" style="4" customWidth="1"/>
    <col min="1296" max="1296" width="12.42578125" style="4" customWidth="1"/>
    <col min="1297" max="1536" width="8.7109375" style="4"/>
    <col min="1537" max="1537" width="55.7109375" style="4" customWidth="1"/>
    <col min="1538" max="1539" width="8.7109375" style="4"/>
    <col min="1540" max="1540" width="10.7109375" style="4" customWidth="1"/>
    <col min="1541" max="1541" width="110.28515625" style="4" customWidth="1"/>
    <col min="1542" max="1542" width="76.5703125" style="4" customWidth="1"/>
    <col min="1543" max="1543" width="14" style="4" bestFit="1" customWidth="1"/>
    <col min="1544" max="1550" width="12.7109375" style="4" customWidth="1"/>
    <col min="1551" max="1551" width="13.7109375" style="4" customWidth="1"/>
    <col min="1552" max="1552" width="12.42578125" style="4" customWidth="1"/>
    <col min="1553" max="1792" width="8.7109375" style="4"/>
    <col min="1793" max="1793" width="55.7109375" style="4" customWidth="1"/>
    <col min="1794" max="1795" width="8.7109375" style="4"/>
    <col min="1796" max="1796" width="10.7109375" style="4" customWidth="1"/>
    <col min="1797" max="1797" width="110.28515625" style="4" customWidth="1"/>
    <col min="1798" max="1798" width="76.5703125" style="4" customWidth="1"/>
    <col min="1799" max="1799" width="14" style="4" bestFit="1" customWidth="1"/>
    <col min="1800" max="1806" width="12.7109375" style="4" customWidth="1"/>
    <col min="1807" max="1807" width="13.7109375" style="4" customWidth="1"/>
    <col min="1808" max="1808" width="12.42578125" style="4" customWidth="1"/>
    <col min="1809" max="2048" width="8.7109375" style="4"/>
    <col min="2049" max="2049" width="55.7109375" style="4" customWidth="1"/>
    <col min="2050" max="2051" width="8.7109375" style="4"/>
    <col min="2052" max="2052" width="10.7109375" style="4" customWidth="1"/>
    <col min="2053" max="2053" width="110.28515625" style="4" customWidth="1"/>
    <col min="2054" max="2054" width="76.5703125" style="4" customWidth="1"/>
    <col min="2055" max="2055" width="14" style="4" bestFit="1" customWidth="1"/>
    <col min="2056" max="2062" width="12.7109375" style="4" customWidth="1"/>
    <col min="2063" max="2063" width="13.7109375" style="4" customWidth="1"/>
    <col min="2064" max="2064" width="12.42578125" style="4" customWidth="1"/>
    <col min="2065" max="2304" width="8.7109375" style="4"/>
    <col min="2305" max="2305" width="55.7109375" style="4" customWidth="1"/>
    <col min="2306" max="2307" width="8.7109375" style="4"/>
    <col min="2308" max="2308" width="10.7109375" style="4" customWidth="1"/>
    <col min="2309" max="2309" width="110.28515625" style="4" customWidth="1"/>
    <col min="2310" max="2310" width="76.5703125" style="4" customWidth="1"/>
    <col min="2311" max="2311" width="14" style="4" bestFit="1" customWidth="1"/>
    <col min="2312" max="2318" width="12.7109375" style="4" customWidth="1"/>
    <col min="2319" max="2319" width="13.7109375" style="4" customWidth="1"/>
    <col min="2320" max="2320" width="12.42578125" style="4" customWidth="1"/>
    <col min="2321" max="2560" width="8.7109375" style="4"/>
    <col min="2561" max="2561" width="55.7109375" style="4" customWidth="1"/>
    <col min="2562" max="2563" width="8.7109375" style="4"/>
    <col min="2564" max="2564" width="10.7109375" style="4" customWidth="1"/>
    <col min="2565" max="2565" width="110.28515625" style="4" customWidth="1"/>
    <col min="2566" max="2566" width="76.5703125" style="4" customWidth="1"/>
    <col min="2567" max="2567" width="14" style="4" bestFit="1" customWidth="1"/>
    <col min="2568" max="2574" width="12.7109375" style="4" customWidth="1"/>
    <col min="2575" max="2575" width="13.7109375" style="4" customWidth="1"/>
    <col min="2576" max="2576" width="12.42578125" style="4" customWidth="1"/>
    <col min="2577" max="2816" width="8.7109375" style="4"/>
    <col min="2817" max="2817" width="55.7109375" style="4" customWidth="1"/>
    <col min="2818" max="2819" width="8.7109375" style="4"/>
    <col min="2820" max="2820" width="10.7109375" style="4" customWidth="1"/>
    <col min="2821" max="2821" width="110.28515625" style="4" customWidth="1"/>
    <col min="2822" max="2822" width="76.5703125" style="4" customWidth="1"/>
    <col min="2823" max="2823" width="14" style="4" bestFit="1" customWidth="1"/>
    <col min="2824" max="2830" width="12.7109375" style="4" customWidth="1"/>
    <col min="2831" max="2831" width="13.7109375" style="4" customWidth="1"/>
    <col min="2832" max="2832" width="12.42578125" style="4" customWidth="1"/>
    <col min="2833" max="3072" width="8.7109375" style="4"/>
    <col min="3073" max="3073" width="55.7109375" style="4" customWidth="1"/>
    <col min="3074" max="3075" width="8.7109375" style="4"/>
    <col min="3076" max="3076" width="10.7109375" style="4" customWidth="1"/>
    <col min="3077" max="3077" width="110.28515625" style="4" customWidth="1"/>
    <col min="3078" max="3078" width="76.5703125" style="4" customWidth="1"/>
    <col min="3079" max="3079" width="14" style="4" bestFit="1" customWidth="1"/>
    <col min="3080" max="3086" width="12.7109375" style="4" customWidth="1"/>
    <col min="3087" max="3087" width="13.7109375" style="4" customWidth="1"/>
    <col min="3088" max="3088" width="12.42578125" style="4" customWidth="1"/>
    <col min="3089" max="3328" width="8.7109375" style="4"/>
    <col min="3329" max="3329" width="55.7109375" style="4" customWidth="1"/>
    <col min="3330" max="3331" width="8.7109375" style="4"/>
    <col min="3332" max="3332" width="10.7109375" style="4" customWidth="1"/>
    <col min="3333" max="3333" width="110.28515625" style="4" customWidth="1"/>
    <col min="3334" max="3334" width="76.5703125" style="4" customWidth="1"/>
    <col min="3335" max="3335" width="14" style="4" bestFit="1" customWidth="1"/>
    <col min="3336" max="3342" width="12.7109375" style="4" customWidth="1"/>
    <col min="3343" max="3343" width="13.7109375" style="4" customWidth="1"/>
    <col min="3344" max="3344" width="12.42578125" style="4" customWidth="1"/>
    <col min="3345" max="3584" width="8.7109375" style="4"/>
    <col min="3585" max="3585" width="55.7109375" style="4" customWidth="1"/>
    <col min="3586" max="3587" width="8.7109375" style="4"/>
    <col min="3588" max="3588" width="10.7109375" style="4" customWidth="1"/>
    <col min="3589" max="3589" width="110.28515625" style="4" customWidth="1"/>
    <col min="3590" max="3590" width="76.5703125" style="4" customWidth="1"/>
    <col min="3591" max="3591" width="14" style="4" bestFit="1" customWidth="1"/>
    <col min="3592" max="3598" width="12.7109375" style="4" customWidth="1"/>
    <col min="3599" max="3599" width="13.7109375" style="4" customWidth="1"/>
    <col min="3600" max="3600" width="12.42578125" style="4" customWidth="1"/>
    <col min="3601" max="3840" width="8.7109375" style="4"/>
    <col min="3841" max="3841" width="55.7109375" style="4" customWidth="1"/>
    <col min="3842" max="3843" width="8.7109375" style="4"/>
    <col min="3844" max="3844" width="10.7109375" style="4" customWidth="1"/>
    <col min="3845" max="3845" width="110.28515625" style="4" customWidth="1"/>
    <col min="3846" max="3846" width="76.5703125" style="4" customWidth="1"/>
    <col min="3847" max="3847" width="14" style="4" bestFit="1" customWidth="1"/>
    <col min="3848" max="3854" width="12.7109375" style="4" customWidth="1"/>
    <col min="3855" max="3855" width="13.7109375" style="4" customWidth="1"/>
    <col min="3856" max="3856" width="12.42578125" style="4" customWidth="1"/>
    <col min="3857" max="4096" width="8.7109375" style="4"/>
    <col min="4097" max="4097" width="55.7109375" style="4" customWidth="1"/>
    <col min="4098" max="4099" width="8.7109375" style="4"/>
    <col min="4100" max="4100" width="10.7109375" style="4" customWidth="1"/>
    <col min="4101" max="4101" width="110.28515625" style="4" customWidth="1"/>
    <col min="4102" max="4102" width="76.5703125" style="4" customWidth="1"/>
    <col min="4103" max="4103" width="14" style="4" bestFit="1" customWidth="1"/>
    <col min="4104" max="4110" width="12.7109375" style="4" customWidth="1"/>
    <col min="4111" max="4111" width="13.7109375" style="4" customWidth="1"/>
    <col min="4112" max="4112" width="12.42578125" style="4" customWidth="1"/>
    <col min="4113" max="4352" width="8.7109375" style="4"/>
    <col min="4353" max="4353" width="55.7109375" style="4" customWidth="1"/>
    <col min="4354" max="4355" width="8.7109375" style="4"/>
    <col min="4356" max="4356" width="10.7109375" style="4" customWidth="1"/>
    <col min="4357" max="4357" width="110.28515625" style="4" customWidth="1"/>
    <col min="4358" max="4358" width="76.5703125" style="4" customWidth="1"/>
    <col min="4359" max="4359" width="14" style="4" bestFit="1" customWidth="1"/>
    <col min="4360" max="4366" width="12.7109375" style="4" customWidth="1"/>
    <col min="4367" max="4367" width="13.7109375" style="4" customWidth="1"/>
    <col min="4368" max="4368" width="12.42578125" style="4" customWidth="1"/>
    <col min="4369" max="4608" width="8.7109375" style="4"/>
    <col min="4609" max="4609" width="55.7109375" style="4" customWidth="1"/>
    <col min="4610" max="4611" width="8.7109375" style="4"/>
    <col min="4612" max="4612" width="10.7109375" style="4" customWidth="1"/>
    <col min="4613" max="4613" width="110.28515625" style="4" customWidth="1"/>
    <col min="4614" max="4614" width="76.5703125" style="4" customWidth="1"/>
    <col min="4615" max="4615" width="14" style="4" bestFit="1" customWidth="1"/>
    <col min="4616" max="4622" width="12.7109375" style="4" customWidth="1"/>
    <col min="4623" max="4623" width="13.7109375" style="4" customWidth="1"/>
    <col min="4624" max="4624" width="12.42578125" style="4" customWidth="1"/>
    <col min="4625" max="4864" width="8.7109375" style="4"/>
    <col min="4865" max="4865" width="55.7109375" style="4" customWidth="1"/>
    <col min="4866" max="4867" width="8.7109375" style="4"/>
    <col min="4868" max="4868" width="10.7109375" style="4" customWidth="1"/>
    <col min="4869" max="4869" width="110.28515625" style="4" customWidth="1"/>
    <col min="4870" max="4870" width="76.5703125" style="4" customWidth="1"/>
    <col min="4871" max="4871" width="14" style="4" bestFit="1" customWidth="1"/>
    <col min="4872" max="4878" width="12.7109375" style="4" customWidth="1"/>
    <col min="4879" max="4879" width="13.7109375" style="4" customWidth="1"/>
    <col min="4880" max="4880" width="12.42578125" style="4" customWidth="1"/>
    <col min="4881" max="5120" width="8.7109375" style="4"/>
    <col min="5121" max="5121" width="55.7109375" style="4" customWidth="1"/>
    <col min="5122" max="5123" width="8.7109375" style="4"/>
    <col min="5124" max="5124" width="10.7109375" style="4" customWidth="1"/>
    <col min="5125" max="5125" width="110.28515625" style="4" customWidth="1"/>
    <col min="5126" max="5126" width="76.5703125" style="4" customWidth="1"/>
    <col min="5127" max="5127" width="14" style="4" bestFit="1" customWidth="1"/>
    <col min="5128" max="5134" width="12.7109375" style="4" customWidth="1"/>
    <col min="5135" max="5135" width="13.7109375" style="4" customWidth="1"/>
    <col min="5136" max="5136" width="12.42578125" style="4" customWidth="1"/>
    <col min="5137" max="5376" width="8.7109375" style="4"/>
    <col min="5377" max="5377" width="55.7109375" style="4" customWidth="1"/>
    <col min="5378" max="5379" width="8.7109375" style="4"/>
    <col min="5380" max="5380" width="10.7109375" style="4" customWidth="1"/>
    <col min="5381" max="5381" width="110.28515625" style="4" customWidth="1"/>
    <col min="5382" max="5382" width="76.5703125" style="4" customWidth="1"/>
    <col min="5383" max="5383" width="14" style="4" bestFit="1" customWidth="1"/>
    <col min="5384" max="5390" width="12.7109375" style="4" customWidth="1"/>
    <col min="5391" max="5391" width="13.7109375" style="4" customWidth="1"/>
    <col min="5392" max="5392" width="12.42578125" style="4" customWidth="1"/>
    <col min="5393" max="5632" width="8.7109375" style="4"/>
    <col min="5633" max="5633" width="55.7109375" style="4" customWidth="1"/>
    <col min="5634" max="5635" width="8.7109375" style="4"/>
    <col min="5636" max="5636" width="10.7109375" style="4" customWidth="1"/>
    <col min="5637" max="5637" width="110.28515625" style="4" customWidth="1"/>
    <col min="5638" max="5638" width="76.5703125" style="4" customWidth="1"/>
    <col min="5639" max="5639" width="14" style="4" bestFit="1" customWidth="1"/>
    <col min="5640" max="5646" width="12.7109375" style="4" customWidth="1"/>
    <col min="5647" max="5647" width="13.7109375" style="4" customWidth="1"/>
    <col min="5648" max="5648" width="12.42578125" style="4" customWidth="1"/>
    <col min="5649" max="5888" width="8.7109375" style="4"/>
    <col min="5889" max="5889" width="55.7109375" style="4" customWidth="1"/>
    <col min="5890" max="5891" width="8.7109375" style="4"/>
    <col min="5892" max="5892" width="10.7109375" style="4" customWidth="1"/>
    <col min="5893" max="5893" width="110.28515625" style="4" customWidth="1"/>
    <col min="5894" max="5894" width="76.5703125" style="4" customWidth="1"/>
    <col min="5895" max="5895" width="14" style="4" bestFit="1" customWidth="1"/>
    <col min="5896" max="5902" width="12.7109375" style="4" customWidth="1"/>
    <col min="5903" max="5903" width="13.7109375" style="4" customWidth="1"/>
    <col min="5904" max="5904" width="12.42578125" style="4" customWidth="1"/>
    <col min="5905" max="6144" width="8.7109375" style="4"/>
    <col min="6145" max="6145" width="55.7109375" style="4" customWidth="1"/>
    <col min="6146" max="6147" width="8.7109375" style="4"/>
    <col min="6148" max="6148" width="10.7109375" style="4" customWidth="1"/>
    <col min="6149" max="6149" width="110.28515625" style="4" customWidth="1"/>
    <col min="6150" max="6150" width="76.5703125" style="4" customWidth="1"/>
    <col min="6151" max="6151" width="14" style="4" bestFit="1" customWidth="1"/>
    <col min="6152" max="6158" width="12.7109375" style="4" customWidth="1"/>
    <col min="6159" max="6159" width="13.7109375" style="4" customWidth="1"/>
    <col min="6160" max="6160" width="12.42578125" style="4" customWidth="1"/>
    <col min="6161" max="6400" width="8.7109375" style="4"/>
    <col min="6401" max="6401" width="55.7109375" style="4" customWidth="1"/>
    <col min="6402" max="6403" width="8.7109375" style="4"/>
    <col min="6404" max="6404" width="10.7109375" style="4" customWidth="1"/>
    <col min="6405" max="6405" width="110.28515625" style="4" customWidth="1"/>
    <col min="6406" max="6406" width="76.5703125" style="4" customWidth="1"/>
    <col min="6407" max="6407" width="14" style="4" bestFit="1" customWidth="1"/>
    <col min="6408" max="6414" width="12.7109375" style="4" customWidth="1"/>
    <col min="6415" max="6415" width="13.7109375" style="4" customWidth="1"/>
    <col min="6416" max="6416" width="12.42578125" style="4" customWidth="1"/>
    <col min="6417" max="6656" width="8.7109375" style="4"/>
    <col min="6657" max="6657" width="55.7109375" style="4" customWidth="1"/>
    <col min="6658" max="6659" width="8.7109375" style="4"/>
    <col min="6660" max="6660" width="10.7109375" style="4" customWidth="1"/>
    <col min="6661" max="6661" width="110.28515625" style="4" customWidth="1"/>
    <col min="6662" max="6662" width="76.5703125" style="4" customWidth="1"/>
    <col min="6663" max="6663" width="14" style="4" bestFit="1" customWidth="1"/>
    <col min="6664" max="6670" width="12.7109375" style="4" customWidth="1"/>
    <col min="6671" max="6671" width="13.7109375" style="4" customWidth="1"/>
    <col min="6672" max="6672" width="12.42578125" style="4" customWidth="1"/>
    <col min="6673" max="6912" width="8.7109375" style="4"/>
    <col min="6913" max="6913" width="55.7109375" style="4" customWidth="1"/>
    <col min="6914" max="6915" width="8.7109375" style="4"/>
    <col min="6916" max="6916" width="10.7109375" style="4" customWidth="1"/>
    <col min="6917" max="6917" width="110.28515625" style="4" customWidth="1"/>
    <col min="6918" max="6918" width="76.5703125" style="4" customWidth="1"/>
    <col min="6919" max="6919" width="14" style="4" bestFit="1" customWidth="1"/>
    <col min="6920" max="6926" width="12.7109375" style="4" customWidth="1"/>
    <col min="6927" max="6927" width="13.7109375" style="4" customWidth="1"/>
    <col min="6928" max="6928" width="12.42578125" style="4" customWidth="1"/>
    <col min="6929" max="7168" width="8.7109375" style="4"/>
    <col min="7169" max="7169" width="55.7109375" style="4" customWidth="1"/>
    <col min="7170" max="7171" width="8.7109375" style="4"/>
    <col min="7172" max="7172" width="10.7109375" style="4" customWidth="1"/>
    <col min="7173" max="7173" width="110.28515625" style="4" customWidth="1"/>
    <col min="7174" max="7174" width="76.5703125" style="4" customWidth="1"/>
    <col min="7175" max="7175" width="14" style="4" bestFit="1" customWidth="1"/>
    <col min="7176" max="7182" width="12.7109375" style="4" customWidth="1"/>
    <col min="7183" max="7183" width="13.7109375" style="4" customWidth="1"/>
    <col min="7184" max="7184" width="12.42578125" style="4" customWidth="1"/>
    <col min="7185" max="7424" width="8.7109375" style="4"/>
    <col min="7425" max="7425" width="55.7109375" style="4" customWidth="1"/>
    <col min="7426" max="7427" width="8.7109375" style="4"/>
    <col min="7428" max="7428" width="10.7109375" style="4" customWidth="1"/>
    <col min="7429" max="7429" width="110.28515625" style="4" customWidth="1"/>
    <col min="7430" max="7430" width="76.5703125" style="4" customWidth="1"/>
    <col min="7431" max="7431" width="14" style="4" bestFit="1" customWidth="1"/>
    <col min="7432" max="7438" width="12.7109375" style="4" customWidth="1"/>
    <col min="7439" max="7439" width="13.7109375" style="4" customWidth="1"/>
    <col min="7440" max="7440" width="12.42578125" style="4" customWidth="1"/>
    <col min="7441" max="7680" width="8.7109375" style="4"/>
    <col min="7681" max="7681" width="55.7109375" style="4" customWidth="1"/>
    <col min="7682" max="7683" width="8.7109375" style="4"/>
    <col min="7684" max="7684" width="10.7109375" style="4" customWidth="1"/>
    <col min="7685" max="7685" width="110.28515625" style="4" customWidth="1"/>
    <col min="7686" max="7686" width="76.5703125" style="4" customWidth="1"/>
    <col min="7687" max="7687" width="14" style="4" bestFit="1" customWidth="1"/>
    <col min="7688" max="7694" width="12.7109375" style="4" customWidth="1"/>
    <col min="7695" max="7695" width="13.7109375" style="4" customWidth="1"/>
    <col min="7696" max="7696" width="12.42578125" style="4" customWidth="1"/>
    <col min="7697" max="7936" width="8.7109375" style="4"/>
    <col min="7937" max="7937" width="55.7109375" style="4" customWidth="1"/>
    <col min="7938" max="7939" width="8.7109375" style="4"/>
    <col min="7940" max="7940" width="10.7109375" style="4" customWidth="1"/>
    <col min="7941" max="7941" width="110.28515625" style="4" customWidth="1"/>
    <col min="7942" max="7942" width="76.5703125" style="4" customWidth="1"/>
    <col min="7943" max="7943" width="14" style="4" bestFit="1" customWidth="1"/>
    <col min="7944" max="7950" width="12.7109375" style="4" customWidth="1"/>
    <col min="7951" max="7951" width="13.7109375" style="4" customWidth="1"/>
    <col min="7952" max="7952" width="12.42578125" style="4" customWidth="1"/>
    <col min="7953" max="8192" width="8.7109375" style="4"/>
    <col min="8193" max="8193" width="55.7109375" style="4" customWidth="1"/>
    <col min="8194" max="8195" width="8.7109375" style="4"/>
    <col min="8196" max="8196" width="10.7109375" style="4" customWidth="1"/>
    <col min="8197" max="8197" width="110.28515625" style="4" customWidth="1"/>
    <col min="8198" max="8198" width="76.5703125" style="4" customWidth="1"/>
    <col min="8199" max="8199" width="14" style="4" bestFit="1" customWidth="1"/>
    <col min="8200" max="8206" width="12.7109375" style="4" customWidth="1"/>
    <col min="8207" max="8207" width="13.7109375" style="4" customWidth="1"/>
    <col min="8208" max="8208" width="12.42578125" style="4" customWidth="1"/>
    <col min="8209" max="8448" width="8.7109375" style="4"/>
    <col min="8449" max="8449" width="55.7109375" style="4" customWidth="1"/>
    <col min="8450" max="8451" width="8.7109375" style="4"/>
    <col min="8452" max="8452" width="10.7109375" style="4" customWidth="1"/>
    <col min="8453" max="8453" width="110.28515625" style="4" customWidth="1"/>
    <col min="8454" max="8454" width="76.5703125" style="4" customWidth="1"/>
    <col min="8455" max="8455" width="14" style="4" bestFit="1" customWidth="1"/>
    <col min="8456" max="8462" width="12.7109375" style="4" customWidth="1"/>
    <col min="8463" max="8463" width="13.7109375" style="4" customWidth="1"/>
    <col min="8464" max="8464" width="12.42578125" style="4" customWidth="1"/>
    <col min="8465" max="8704" width="8.7109375" style="4"/>
    <col min="8705" max="8705" width="55.7109375" style="4" customWidth="1"/>
    <col min="8706" max="8707" width="8.7109375" style="4"/>
    <col min="8708" max="8708" width="10.7109375" style="4" customWidth="1"/>
    <col min="8709" max="8709" width="110.28515625" style="4" customWidth="1"/>
    <col min="8710" max="8710" width="76.5703125" style="4" customWidth="1"/>
    <col min="8711" max="8711" width="14" style="4" bestFit="1" customWidth="1"/>
    <col min="8712" max="8718" width="12.7109375" style="4" customWidth="1"/>
    <col min="8719" max="8719" width="13.7109375" style="4" customWidth="1"/>
    <col min="8720" max="8720" width="12.42578125" style="4" customWidth="1"/>
    <col min="8721" max="8960" width="8.7109375" style="4"/>
    <col min="8961" max="8961" width="55.7109375" style="4" customWidth="1"/>
    <col min="8962" max="8963" width="8.7109375" style="4"/>
    <col min="8964" max="8964" width="10.7109375" style="4" customWidth="1"/>
    <col min="8965" max="8965" width="110.28515625" style="4" customWidth="1"/>
    <col min="8966" max="8966" width="76.5703125" style="4" customWidth="1"/>
    <col min="8967" max="8967" width="14" style="4" bestFit="1" customWidth="1"/>
    <col min="8968" max="8974" width="12.7109375" style="4" customWidth="1"/>
    <col min="8975" max="8975" width="13.7109375" style="4" customWidth="1"/>
    <col min="8976" max="8976" width="12.42578125" style="4" customWidth="1"/>
    <col min="8977" max="9216" width="8.7109375" style="4"/>
    <col min="9217" max="9217" width="55.7109375" style="4" customWidth="1"/>
    <col min="9218" max="9219" width="8.7109375" style="4"/>
    <col min="9220" max="9220" width="10.7109375" style="4" customWidth="1"/>
    <col min="9221" max="9221" width="110.28515625" style="4" customWidth="1"/>
    <col min="9222" max="9222" width="76.5703125" style="4" customWidth="1"/>
    <col min="9223" max="9223" width="14" style="4" bestFit="1" customWidth="1"/>
    <col min="9224" max="9230" width="12.7109375" style="4" customWidth="1"/>
    <col min="9231" max="9231" width="13.7109375" style="4" customWidth="1"/>
    <col min="9232" max="9232" width="12.42578125" style="4" customWidth="1"/>
    <col min="9233" max="9472" width="8.7109375" style="4"/>
    <col min="9473" max="9473" width="55.7109375" style="4" customWidth="1"/>
    <col min="9474" max="9475" width="8.7109375" style="4"/>
    <col min="9476" max="9476" width="10.7109375" style="4" customWidth="1"/>
    <col min="9477" max="9477" width="110.28515625" style="4" customWidth="1"/>
    <col min="9478" max="9478" width="76.5703125" style="4" customWidth="1"/>
    <col min="9479" max="9479" width="14" style="4" bestFit="1" customWidth="1"/>
    <col min="9480" max="9486" width="12.7109375" style="4" customWidth="1"/>
    <col min="9487" max="9487" width="13.7109375" style="4" customWidth="1"/>
    <col min="9488" max="9488" width="12.42578125" style="4" customWidth="1"/>
    <col min="9489" max="9728" width="8.7109375" style="4"/>
    <col min="9729" max="9729" width="55.7109375" style="4" customWidth="1"/>
    <col min="9730" max="9731" width="8.7109375" style="4"/>
    <col min="9732" max="9732" width="10.7109375" style="4" customWidth="1"/>
    <col min="9733" max="9733" width="110.28515625" style="4" customWidth="1"/>
    <col min="9734" max="9734" width="76.5703125" style="4" customWidth="1"/>
    <col min="9735" max="9735" width="14" style="4" bestFit="1" customWidth="1"/>
    <col min="9736" max="9742" width="12.7109375" style="4" customWidth="1"/>
    <col min="9743" max="9743" width="13.7109375" style="4" customWidth="1"/>
    <col min="9744" max="9744" width="12.42578125" style="4" customWidth="1"/>
    <col min="9745" max="9984" width="8.7109375" style="4"/>
    <col min="9985" max="9985" width="55.7109375" style="4" customWidth="1"/>
    <col min="9986" max="9987" width="8.7109375" style="4"/>
    <col min="9988" max="9988" width="10.7109375" style="4" customWidth="1"/>
    <col min="9989" max="9989" width="110.28515625" style="4" customWidth="1"/>
    <col min="9990" max="9990" width="76.5703125" style="4" customWidth="1"/>
    <col min="9991" max="9991" width="14" style="4" bestFit="1" customWidth="1"/>
    <col min="9992" max="9998" width="12.7109375" style="4" customWidth="1"/>
    <col min="9999" max="9999" width="13.7109375" style="4" customWidth="1"/>
    <col min="10000" max="10000" width="12.42578125" style="4" customWidth="1"/>
    <col min="10001" max="10240" width="8.7109375" style="4"/>
    <col min="10241" max="10241" width="55.7109375" style="4" customWidth="1"/>
    <col min="10242" max="10243" width="8.7109375" style="4"/>
    <col min="10244" max="10244" width="10.7109375" style="4" customWidth="1"/>
    <col min="10245" max="10245" width="110.28515625" style="4" customWidth="1"/>
    <col min="10246" max="10246" width="76.5703125" style="4" customWidth="1"/>
    <col min="10247" max="10247" width="14" style="4" bestFit="1" customWidth="1"/>
    <col min="10248" max="10254" width="12.7109375" style="4" customWidth="1"/>
    <col min="10255" max="10255" width="13.7109375" style="4" customWidth="1"/>
    <col min="10256" max="10256" width="12.42578125" style="4" customWidth="1"/>
    <col min="10257" max="10496" width="8.7109375" style="4"/>
    <col min="10497" max="10497" width="55.7109375" style="4" customWidth="1"/>
    <col min="10498" max="10499" width="8.7109375" style="4"/>
    <col min="10500" max="10500" width="10.7109375" style="4" customWidth="1"/>
    <col min="10501" max="10501" width="110.28515625" style="4" customWidth="1"/>
    <col min="10502" max="10502" width="76.5703125" style="4" customWidth="1"/>
    <col min="10503" max="10503" width="14" style="4" bestFit="1" customWidth="1"/>
    <col min="10504" max="10510" width="12.7109375" style="4" customWidth="1"/>
    <col min="10511" max="10511" width="13.7109375" style="4" customWidth="1"/>
    <col min="10512" max="10512" width="12.42578125" style="4" customWidth="1"/>
    <col min="10513" max="10752" width="8.7109375" style="4"/>
    <col min="10753" max="10753" width="55.7109375" style="4" customWidth="1"/>
    <col min="10754" max="10755" width="8.7109375" style="4"/>
    <col min="10756" max="10756" width="10.7109375" style="4" customWidth="1"/>
    <col min="10757" max="10757" width="110.28515625" style="4" customWidth="1"/>
    <col min="10758" max="10758" width="76.5703125" style="4" customWidth="1"/>
    <col min="10759" max="10759" width="14" style="4" bestFit="1" customWidth="1"/>
    <col min="10760" max="10766" width="12.7109375" style="4" customWidth="1"/>
    <col min="10767" max="10767" width="13.7109375" style="4" customWidth="1"/>
    <col min="10768" max="10768" width="12.42578125" style="4" customWidth="1"/>
    <col min="10769" max="11008" width="8.7109375" style="4"/>
    <col min="11009" max="11009" width="55.7109375" style="4" customWidth="1"/>
    <col min="11010" max="11011" width="8.7109375" style="4"/>
    <col min="11012" max="11012" width="10.7109375" style="4" customWidth="1"/>
    <col min="11013" max="11013" width="110.28515625" style="4" customWidth="1"/>
    <col min="11014" max="11014" width="76.5703125" style="4" customWidth="1"/>
    <col min="11015" max="11015" width="14" style="4" bestFit="1" customWidth="1"/>
    <col min="11016" max="11022" width="12.7109375" style="4" customWidth="1"/>
    <col min="11023" max="11023" width="13.7109375" style="4" customWidth="1"/>
    <col min="11024" max="11024" width="12.42578125" style="4" customWidth="1"/>
    <col min="11025" max="11264" width="8.7109375" style="4"/>
    <col min="11265" max="11265" width="55.7109375" style="4" customWidth="1"/>
    <col min="11266" max="11267" width="8.7109375" style="4"/>
    <col min="11268" max="11268" width="10.7109375" style="4" customWidth="1"/>
    <col min="11269" max="11269" width="110.28515625" style="4" customWidth="1"/>
    <col min="11270" max="11270" width="76.5703125" style="4" customWidth="1"/>
    <col min="11271" max="11271" width="14" style="4" bestFit="1" customWidth="1"/>
    <col min="11272" max="11278" width="12.7109375" style="4" customWidth="1"/>
    <col min="11279" max="11279" width="13.7109375" style="4" customWidth="1"/>
    <col min="11280" max="11280" width="12.42578125" style="4" customWidth="1"/>
    <col min="11281" max="11520" width="8.7109375" style="4"/>
    <col min="11521" max="11521" width="55.7109375" style="4" customWidth="1"/>
    <col min="11522" max="11523" width="8.7109375" style="4"/>
    <col min="11524" max="11524" width="10.7109375" style="4" customWidth="1"/>
    <col min="11525" max="11525" width="110.28515625" style="4" customWidth="1"/>
    <col min="11526" max="11526" width="76.5703125" style="4" customWidth="1"/>
    <col min="11527" max="11527" width="14" style="4" bestFit="1" customWidth="1"/>
    <col min="11528" max="11534" width="12.7109375" style="4" customWidth="1"/>
    <col min="11535" max="11535" width="13.7109375" style="4" customWidth="1"/>
    <col min="11536" max="11536" width="12.42578125" style="4" customWidth="1"/>
    <col min="11537" max="11776" width="8.7109375" style="4"/>
    <col min="11777" max="11777" width="55.7109375" style="4" customWidth="1"/>
    <col min="11778" max="11779" width="8.7109375" style="4"/>
    <col min="11780" max="11780" width="10.7109375" style="4" customWidth="1"/>
    <col min="11781" max="11781" width="110.28515625" style="4" customWidth="1"/>
    <col min="11782" max="11782" width="76.5703125" style="4" customWidth="1"/>
    <col min="11783" max="11783" width="14" style="4" bestFit="1" customWidth="1"/>
    <col min="11784" max="11790" width="12.7109375" style="4" customWidth="1"/>
    <col min="11791" max="11791" width="13.7109375" style="4" customWidth="1"/>
    <col min="11792" max="11792" width="12.42578125" style="4" customWidth="1"/>
    <col min="11793" max="12032" width="8.7109375" style="4"/>
    <col min="12033" max="12033" width="55.7109375" style="4" customWidth="1"/>
    <col min="12034" max="12035" width="8.7109375" style="4"/>
    <col min="12036" max="12036" width="10.7109375" style="4" customWidth="1"/>
    <col min="12037" max="12037" width="110.28515625" style="4" customWidth="1"/>
    <col min="12038" max="12038" width="76.5703125" style="4" customWidth="1"/>
    <col min="12039" max="12039" width="14" style="4" bestFit="1" customWidth="1"/>
    <col min="12040" max="12046" width="12.7109375" style="4" customWidth="1"/>
    <col min="12047" max="12047" width="13.7109375" style="4" customWidth="1"/>
    <col min="12048" max="12048" width="12.42578125" style="4" customWidth="1"/>
    <col min="12049" max="12288" width="8.7109375" style="4"/>
    <col min="12289" max="12289" width="55.7109375" style="4" customWidth="1"/>
    <col min="12290" max="12291" width="8.7109375" style="4"/>
    <col min="12292" max="12292" width="10.7109375" style="4" customWidth="1"/>
    <col min="12293" max="12293" width="110.28515625" style="4" customWidth="1"/>
    <col min="12294" max="12294" width="76.5703125" style="4" customWidth="1"/>
    <col min="12295" max="12295" width="14" style="4" bestFit="1" customWidth="1"/>
    <col min="12296" max="12302" width="12.7109375" style="4" customWidth="1"/>
    <col min="12303" max="12303" width="13.7109375" style="4" customWidth="1"/>
    <col min="12304" max="12304" width="12.42578125" style="4" customWidth="1"/>
    <col min="12305" max="12544" width="8.7109375" style="4"/>
    <col min="12545" max="12545" width="55.7109375" style="4" customWidth="1"/>
    <col min="12546" max="12547" width="8.7109375" style="4"/>
    <col min="12548" max="12548" width="10.7109375" style="4" customWidth="1"/>
    <col min="12549" max="12549" width="110.28515625" style="4" customWidth="1"/>
    <col min="12550" max="12550" width="76.5703125" style="4" customWidth="1"/>
    <col min="12551" max="12551" width="14" style="4" bestFit="1" customWidth="1"/>
    <col min="12552" max="12558" width="12.7109375" style="4" customWidth="1"/>
    <col min="12559" max="12559" width="13.7109375" style="4" customWidth="1"/>
    <col min="12560" max="12560" width="12.42578125" style="4" customWidth="1"/>
    <col min="12561" max="12800" width="8.7109375" style="4"/>
    <col min="12801" max="12801" width="55.7109375" style="4" customWidth="1"/>
    <col min="12802" max="12803" width="8.7109375" style="4"/>
    <col min="12804" max="12804" width="10.7109375" style="4" customWidth="1"/>
    <col min="12805" max="12805" width="110.28515625" style="4" customWidth="1"/>
    <col min="12806" max="12806" width="76.5703125" style="4" customWidth="1"/>
    <col min="12807" max="12807" width="14" style="4" bestFit="1" customWidth="1"/>
    <col min="12808" max="12814" width="12.7109375" style="4" customWidth="1"/>
    <col min="12815" max="12815" width="13.7109375" style="4" customWidth="1"/>
    <col min="12816" max="12816" width="12.42578125" style="4" customWidth="1"/>
    <col min="12817" max="13056" width="8.7109375" style="4"/>
    <col min="13057" max="13057" width="55.7109375" style="4" customWidth="1"/>
    <col min="13058" max="13059" width="8.7109375" style="4"/>
    <col min="13060" max="13060" width="10.7109375" style="4" customWidth="1"/>
    <col min="13061" max="13061" width="110.28515625" style="4" customWidth="1"/>
    <col min="13062" max="13062" width="76.5703125" style="4" customWidth="1"/>
    <col min="13063" max="13063" width="14" style="4" bestFit="1" customWidth="1"/>
    <col min="13064" max="13070" width="12.7109375" style="4" customWidth="1"/>
    <col min="13071" max="13071" width="13.7109375" style="4" customWidth="1"/>
    <col min="13072" max="13072" width="12.42578125" style="4" customWidth="1"/>
    <col min="13073" max="13312" width="8.7109375" style="4"/>
    <col min="13313" max="13313" width="55.7109375" style="4" customWidth="1"/>
    <col min="13314" max="13315" width="8.7109375" style="4"/>
    <col min="13316" max="13316" width="10.7109375" style="4" customWidth="1"/>
    <col min="13317" max="13317" width="110.28515625" style="4" customWidth="1"/>
    <col min="13318" max="13318" width="76.5703125" style="4" customWidth="1"/>
    <col min="13319" max="13319" width="14" style="4" bestFit="1" customWidth="1"/>
    <col min="13320" max="13326" width="12.7109375" style="4" customWidth="1"/>
    <col min="13327" max="13327" width="13.7109375" style="4" customWidth="1"/>
    <col min="13328" max="13328" width="12.42578125" style="4" customWidth="1"/>
    <col min="13329" max="13568" width="8.7109375" style="4"/>
    <col min="13569" max="13569" width="55.7109375" style="4" customWidth="1"/>
    <col min="13570" max="13571" width="8.7109375" style="4"/>
    <col min="13572" max="13572" width="10.7109375" style="4" customWidth="1"/>
    <col min="13573" max="13573" width="110.28515625" style="4" customWidth="1"/>
    <col min="13574" max="13574" width="76.5703125" style="4" customWidth="1"/>
    <col min="13575" max="13575" width="14" style="4" bestFit="1" customWidth="1"/>
    <col min="13576" max="13582" width="12.7109375" style="4" customWidth="1"/>
    <col min="13583" max="13583" width="13.7109375" style="4" customWidth="1"/>
    <col min="13584" max="13584" width="12.42578125" style="4" customWidth="1"/>
    <col min="13585" max="13824" width="8.7109375" style="4"/>
    <col min="13825" max="13825" width="55.7109375" style="4" customWidth="1"/>
    <col min="13826" max="13827" width="8.7109375" style="4"/>
    <col min="13828" max="13828" width="10.7109375" style="4" customWidth="1"/>
    <col min="13829" max="13829" width="110.28515625" style="4" customWidth="1"/>
    <col min="13830" max="13830" width="76.5703125" style="4" customWidth="1"/>
    <col min="13831" max="13831" width="14" style="4" bestFit="1" customWidth="1"/>
    <col min="13832" max="13838" width="12.7109375" style="4" customWidth="1"/>
    <col min="13839" max="13839" width="13.7109375" style="4" customWidth="1"/>
    <col min="13840" max="13840" width="12.42578125" style="4" customWidth="1"/>
    <col min="13841" max="14080" width="8.7109375" style="4"/>
    <col min="14081" max="14081" width="55.7109375" style="4" customWidth="1"/>
    <col min="14082" max="14083" width="8.7109375" style="4"/>
    <col min="14084" max="14084" width="10.7109375" style="4" customWidth="1"/>
    <col min="14085" max="14085" width="110.28515625" style="4" customWidth="1"/>
    <col min="14086" max="14086" width="76.5703125" style="4" customWidth="1"/>
    <col min="14087" max="14087" width="14" style="4" bestFit="1" customWidth="1"/>
    <col min="14088" max="14094" width="12.7109375" style="4" customWidth="1"/>
    <col min="14095" max="14095" width="13.7109375" style="4" customWidth="1"/>
    <col min="14096" max="14096" width="12.42578125" style="4" customWidth="1"/>
    <col min="14097" max="14336" width="8.7109375" style="4"/>
    <col min="14337" max="14337" width="55.7109375" style="4" customWidth="1"/>
    <col min="14338" max="14339" width="8.7109375" style="4"/>
    <col min="14340" max="14340" width="10.7109375" style="4" customWidth="1"/>
    <col min="14341" max="14341" width="110.28515625" style="4" customWidth="1"/>
    <col min="14342" max="14342" width="76.5703125" style="4" customWidth="1"/>
    <col min="14343" max="14343" width="14" style="4" bestFit="1" customWidth="1"/>
    <col min="14344" max="14350" width="12.7109375" style="4" customWidth="1"/>
    <col min="14351" max="14351" width="13.7109375" style="4" customWidth="1"/>
    <col min="14352" max="14352" width="12.42578125" style="4" customWidth="1"/>
    <col min="14353" max="14592" width="8.7109375" style="4"/>
    <col min="14593" max="14593" width="55.7109375" style="4" customWidth="1"/>
    <col min="14594" max="14595" width="8.7109375" style="4"/>
    <col min="14596" max="14596" width="10.7109375" style="4" customWidth="1"/>
    <col min="14597" max="14597" width="110.28515625" style="4" customWidth="1"/>
    <col min="14598" max="14598" width="76.5703125" style="4" customWidth="1"/>
    <col min="14599" max="14599" width="14" style="4" bestFit="1" customWidth="1"/>
    <col min="14600" max="14606" width="12.7109375" style="4" customWidth="1"/>
    <col min="14607" max="14607" width="13.7109375" style="4" customWidth="1"/>
    <col min="14608" max="14608" width="12.42578125" style="4" customWidth="1"/>
    <col min="14609" max="14848" width="8.7109375" style="4"/>
    <col min="14849" max="14849" width="55.7109375" style="4" customWidth="1"/>
    <col min="14850" max="14851" width="8.7109375" style="4"/>
    <col min="14852" max="14852" width="10.7109375" style="4" customWidth="1"/>
    <col min="14853" max="14853" width="110.28515625" style="4" customWidth="1"/>
    <col min="14854" max="14854" width="76.5703125" style="4" customWidth="1"/>
    <col min="14855" max="14855" width="14" style="4" bestFit="1" customWidth="1"/>
    <col min="14856" max="14862" width="12.7109375" style="4" customWidth="1"/>
    <col min="14863" max="14863" width="13.7109375" style="4" customWidth="1"/>
    <col min="14864" max="14864" width="12.42578125" style="4" customWidth="1"/>
    <col min="14865" max="15104" width="8.7109375" style="4"/>
    <col min="15105" max="15105" width="55.7109375" style="4" customWidth="1"/>
    <col min="15106" max="15107" width="8.7109375" style="4"/>
    <col min="15108" max="15108" width="10.7109375" style="4" customWidth="1"/>
    <col min="15109" max="15109" width="110.28515625" style="4" customWidth="1"/>
    <col min="15110" max="15110" width="76.5703125" style="4" customWidth="1"/>
    <col min="15111" max="15111" width="14" style="4" bestFit="1" customWidth="1"/>
    <col min="15112" max="15118" width="12.7109375" style="4" customWidth="1"/>
    <col min="15119" max="15119" width="13.7109375" style="4" customWidth="1"/>
    <col min="15120" max="15120" width="12.42578125" style="4" customWidth="1"/>
    <col min="15121" max="15360" width="8.7109375" style="4"/>
    <col min="15361" max="15361" width="55.7109375" style="4" customWidth="1"/>
    <col min="15362" max="15363" width="8.7109375" style="4"/>
    <col min="15364" max="15364" width="10.7109375" style="4" customWidth="1"/>
    <col min="15365" max="15365" width="110.28515625" style="4" customWidth="1"/>
    <col min="15366" max="15366" width="76.5703125" style="4" customWidth="1"/>
    <col min="15367" max="15367" width="14" style="4" bestFit="1" customWidth="1"/>
    <col min="15368" max="15374" width="12.7109375" style="4" customWidth="1"/>
    <col min="15375" max="15375" width="13.7109375" style="4" customWidth="1"/>
    <col min="15376" max="15376" width="12.42578125" style="4" customWidth="1"/>
    <col min="15377" max="15616" width="8.7109375" style="4"/>
    <col min="15617" max="15617" width="55.7109375" style="4" customWidth="1"/>
    <col min="15618" max="15619" width="8.7109375" style="4"/>
    <col min="15620" max="15620" width="10.7109375" style="4" customWidth="1"/>
    <col min="15621" max="15621" width="110.28515625" style="4" customWidth="1"/>
    <col min="15622" max="15622" width="76.5703125" style="4" customWidth="1"/>
    <col min="15623" max="15623" width="14" style="4" bestFit="1" customWidth="1"/>
    <col min="15624" max="15630" width="12.7109375" style="4" customWidth="1"/>
    <col min="15631" max="15631" width="13.7109375" style="4" customWidth="1"/>
    <col min="15632" max="15632" width="12.42578125" style="4" customWidth="1"/>
    <col min="15633" max="15872" width="8.7109375" style="4"/>
    <col min="15873" max="15873" width="55.7109375" style="4" customWidth="1"/>
    <col min="15874" max="15875" width="8.7109375" style="4"/>
    <col min="15876" max="15876" width="10.7109375" style="4" customWidth="1"/>
    <col min="15877" max="15877" width="110.28515625" style="4" customWidth="1"/>
    <col min="15878" max="15878" width="76.5703125" style="4" customWidth="1"/>
    <col min="15879" max="15879" width="14" style="4" bestFit="1" customWidth="1"/>
    <col min="15880" max="15886" width="12.7109375" style="4" customWidth="1"/>
    <col min="15887" max="15887" width="13.7109375" style="4" customWidth="1"/>
    <col min="15888" max="15888" width="12.42578125" style="4" customWidth="1"/>
    <col min="15889" max="16128" width="8.7109375" style="4"/>
    <col min="16129" max="16129" width="55.7109375" style="4" customWidth="1"/>
    <col min="16130" max="16131" width="8.7109375" style="4"/>
    <col min="16132" max="16132" width="10.7109375" style="4" customWidth="1"/>
    <col min="16133" max="16133" width="110.28515625" style="4" customWidth="1"/>
    <col min="16134" max="16134" width="76.5703125" style="4" customWidth="1"/>
    <col min="16135" max="16135" width="14" style="4" bestFit="1" customWidth="1"/>
    <col min="16136" max="16142" width="12.7109375" style="4" customWidth="1"/>
    <col min="16143" max="16143" width="13.7109375" style="4" customWidth="1"/>
    <col min="16144" max="16144" width="12.42578125" style="4" customWidth="1"/>
    <col min="16145" max="16384" width="8.7109375" style="4"/>
  </cols>
  <sheetData>
    <row r="1" spans="1:14" ht="45" x14ac:dyDescent="0.6">
      <c r="A1" s="26" t="s">
        <v>21</v>
      </c>
      <c r="I1" s="27"/>
    </row>
    <row r="2" spans="1:14" ht="33" customHeight="1" x14ac:dyDescent="0.3">
      <c r="A2" s="28" t="s">
        <v>36</v>
      </c>
      <c r="G2" s="28"/>
      <c r="I2" s="29"/>
    </row>
    <row r="3" spans="1:14" ht="43.5" customHeight="1" x14ac:dyDescent="0.25">
      <c r="A3" s="151" t="s">
        <v>23</v>
      </c>
      <c r="F3" s="152"/>
    </row>
    <row r="4" spans="1:14" x14ac:dyDescent="0.25">
      <c r="A4" s="30" t="s">
        <v>37</v>
      </c>
      <c r="B4" s="383" t="str">
        <f>IF(Financiering_en_projectplan!B7="","",Financiering_en_projectplan!B7)</f>
        <v/>
      </c>
      <c r="C4" s="403"/>
      <c r="D4" s="403"/>
      <c r="E4" s="404"/>
    </row>
    <row r="5" spans="1:14" x14ac:dyDescent="0.25">
      <c r="A5" s="12"/>
      <c r="B5" s="12"/>
      <c r="C5" s="12"/>
      <c r="D5" s="12"/>
      <c r="E5" s="12"/>
    </row>
    <row r="6" spans="1:14" x14ac:dyDescent="0.25">
      <c r="A6" s="30" t="s">
        <v>38</v>
      </c>
      <c r="B6" s="359"/>
      <c r="C6" s="405"/>
      <c r="D6" s="405"/>
      <c r="E6" s="406"/>
    </row>
    <row r="7" spans="1:14" x14ac:dyDescent="0.25">
      <c r="A7" s="12"/>
      <c r="B7" s="12"/>
      <c r="C7" s="12"/>
      <c r="D7" s="12"/>
      <c r="E7" s="12"/>
    </row>
    <row r="8" spans="1:14" ht="67.5" customHeight="1" x14ac:dyDescent="0.25">
      <c r="A8" s="34" t="s">
        <v>39</v>
      </c>
      <c r="B8" s="407"/>
      <c r="C8" s="379"/>
      <c r="D8" s="379"/>
      <c r="E8" s="379"/>
    </row>
    <row r="9" spans="1:14" ht="115.5" customHeight="1" x14ac:dyDescent="0.25">
      <c r="A9" s="34" t="s">
        <v>40</v>
      </c>
      <c r="B9" s="407"/>
      <c r="C9" s="379"/>
      <c r="D9" s="379"/>
      <c r="E9" s="379"/>
      <c r="F9" s="31" t="str">
        <f>IF(Hulpblad_categorieën_parameters!D25="","U moet nog een subthema productie-installaties kiezen!","")</f>
        <v/>
      </c>
    </row>
    <row r="10" spans="1:14" ht="212.25" customHeight="1" x14ac:dyDescent="0.25">
      <c r="A10" s="34" t="s">
        <v>41</v>
      </c>
      <c r="B10" s="407"/>
      <c r="C10" s="407"/>
      <c r="D10" s="407"/>
      <c r="E10" s="407"/>
      <c r="F10" s="31" t="str">
        <f>IF(Hulpblad_categorieën_parameters!D75="","U moet nog een categorie kiezen!","")</f>
        <v/>
      </c>
    </row>
    <row r="11" spans="1:14" s="30" customFormat="1" x14ac:dyDescent="0.25">
      <c r="A11" s="44" t="s">
        <v>42</v>
      </c>
      <c r="B11" s="400" t="str">
        <f>Hulpblad_categorieën_parameters!D75</f>
        <v>Zon-PV ≥ 15 kWp en &lt; 1 MWp aansluiting &gt; 3*80 A, gebouwgebonden (net = 50%)</v>
      </c>
      <c r="C11" s="401"/>
      <c r="D11" s="401"/>
      <c r="E11" s="402"/>
      <c r="F11" s="43"/>
      <c r="G11" s="43"/>
      <c r="H11" s="43"/>
      <c r="I11" s="43"/>
      <c r="J11" s="43"/>
      <c r="K11" s="43"/>
      <c r="L11" s="43"/>
      <c r="M11" s="43"/>
      <c r="N11" s="43"/>
    </row>
    <row r="12" spans="1:14" s="30" customFormat="1" x14ac:dyDescent="0.25">
      <c r="A12" s="44"/>
      <c r="C12" s="4"/>
      <c r="D12" s="4"/>
      <c r="E12" s="4"/>
      <c r="F12" s="43"/>
      <c r="G12" s="43"/>
      <c r="H12" s="43"/>
      <c r="I12" s="43"/>
      <c r="J12" s="43"/>
      <c r="K12" s="43"/>
      <c r="L12" s="43"/>
      <c r="M12" s="43"/>
      <c r="N12" s="43"/>
    </row>
    <row r="13" spans="1:14" s="30" customFormat="1" ht="15.75" x14ac:dyDescent="0.25">
      <c r="A13" s="47" t="str">
        <f>IF(OR(Hulpblad_categorieën_parameters!D25="CO₂-afvang en opslag (CCS) met gasvormig transport, ETS-bedrijf",Hulpblad_categorieën_parameters!D25="CO₂-afvang en opslag (CCS) met vloeibaar transport, ETS-bedrijf"),"De SDE++-installatie maakt deel uit van een ETS-installatie",IF(OR(Hulpblad_categorieën_parameters!C7="Hernieuwbare warmte en gecombineerde opwekking",Hulpblad_categorieën_parameters!C7="CO₂-arme warmte",Hulpblad_categorieën_parameters!D25="CO₂-afvang en opslag (CCS)"),"Maakt de SDE++-productie-installatie deel uit van een ETS-installatie?","ETS-correctie"))</f>
        <v>ETS-correctie</v>
      </c>
      <c r="C13" s="4"/>
      <c r="D13" s="4"/>
      <c r="E13" s="411" t="str">
        <f>IF(OR(Hulpblad_categorieën_parameters!D25="CO₂-afvang en opslag (CCS) met gasvormig transport, ETS-bedrijf",Hulpblad_categorieën_parameters!D25="CO₂-afvang en opslag (CCS) met vloeibaar transport, ETS-bedrijf"),"De SDE++-installatie maakt deel uit van een ETS-installatie waarvoor voorlopige ETS-correctiebedragen zijn vastgesteld.",IF(A14="Niet van toepassing","",IF(Hulpblad_overig!B11=2,"Als de productie-installatie geen deel uitmaakt van een ETS-installatie zijn er geen voordelen die voortvloeien uit het ETS-systeem en hoeft de uit te betalen SDE++-subsidie hiervoor niet te worden gecorrigeerd.",IF(OR(Hulpblad_categorieën_parameters!C7="Hernieuwbare warmte en gecombineerde opwekking",Hulpblad_categorieën_parameters!C7="CO₂-arme warmte",Hulpblad_categorieën_parameters!D25="CO₂-afvang en opslag (CCS)"),Hulpblad_overig!A74,""))))</f>
        <v/>
      </c>
      <c r="F13" s="43"/>
      <c r="G13" s="43"/>
      <c r="H13" s="43"/>
      <c r="I13" s="43"/>
      <c r="J13" s="43"/>
      <c r="K13" s="43"/>
      <c r="L13" s="43"/>
      <c r="M13" s="43"/>
      <c r="N13" s="43"/>
    </row>
    <row r="14" spans="1:14" s="30" customFormat="1" ht="12.75" customHeight="1" x14ac:dyDescent="0.25">
      <c r="A14" s="12" t="str">
        <f>IF(OR(Hulpblad_categorieën_parameters!C7="Hernieuwbare warmte en gecombineerde opwekking",Hulpblad_categorieën_parameters!C7="CO₂-arme warmte",Hulpblad_categorieën_parameters!D25="CO₂-afvang en opslag (CCS) met gasvormig transport",Hulpblad_categorieën_parameters!D25="CO₂-afvang en opslag (CCS) met vloeibaar transport"),"","Niet van toepassing")</f>
        <v>Niet van toepassing</v>
      </c>
      <c r="C14" s="4"/>
      <c r="D14" s="4"/>
      <c r="E14" s="412"/>
      <c r="F14" s="43"/>
      <c r="G14" s="43"/>
      <c r="H14" s="43"/>
      <c r="I14" s="43"/>
      <c r="J14" s="43"/>
      <c r="K14" s="43"/>
      <c r="L14" s="43"/>
      <c r="M14" s="43"/>
      <c r="N14" s="43"/>
    </row>
    <row r="15" spans="1:14" s="30" customFormat="1" ht="12.75" customHeight="1" x14ac:dyDescent="0.25">
      <c r="A15" s="153"/>
      <c r="C15" s="4"/>
      <c r="D15" s="4"/>
      <c r="E15" s="413"/>
      <c r="F15" s="43"/>
      <c r="G15" s="43"/>
      <c r="H15" s="43"/>
      <c r="I15" s="43"/>
      <c r="J15" s="43"/>
      <c r="K15" s="43"/>
      <c r="L15" s="43"/>
      <c r="M15" s="43"/>
      <c r="N15" s="43"/>
    </row>
    <row r="16" spans="1:14" ht="32.25" customHeight="1" x14ac:dyDescent="0.25">
      <c r="A16" s="151" t="s">
        <v>43</v>
      </c>
      <c r="B16" s="12"/>
      <c r="C16" s="12"/>
      <c r="D16" s="12"/>
      <c r="E16" s="12"/>
      <c r="F16" s="31"/>
    </row>
    <row r="17" spans="1:15" ht="12.75" customHeight="1" x14ac:dyDescent="0.25">
      <c r="A17" s="12" t="str">
        <f>VLOOKUP(B11,Hulpblad_categorieën_parameters!A81:T303,20,FALSE)</f>
        <v>Vermogen productie-installatie (kW)</v>
      </c>
      <c r="B17" s="414">
        <v>0</v>
      </c>
      <c r="C17" s="415"/>
      <c r="D17" s="48">
        <f>IF(A17="Capaciteit afvanginstallatie CO₂ (ton/uur)","",B17/1000)</f>
        <v>0</v>
      </c>
      <c r="E17" s="12" t="str">
        <f>IF(A17="Capaciteit afvanginstallatie CO₂ (ton/uur)","","MW")</f>
        <v>MW</v>
      </c>
    </row>
    <row r="18" spans="1:15" ht="12.75" customHeight="1" x14ac:dyDescent="0.25">
      <c r="A18" s="12" t="str">
        <f>VLOOKUP(B11,Hulpblad_categorieën_parameters!A81:T303,18,FALSE)</f>
        <v>Productie elektriciteit (kWh/jaar)</v>
      </c>
      <c r="B18" s="416">
        <v>0</v>
      </c>
      <c r="C18" s="417"/>
      <c r="E18" s="49" t="str">
        <f>IF(A18="Productie warmte (kWh/jaar)","Het betreft hier de nuttige aanwending van geproduceerde warmte.","")</f>
        <v/>
      </c>
      <c r="F18" s="30"/>
    </row>
    <row r="19" spans="1:15" ht="12.75" customHeight="1" x14ac:dyDescent="0.25">
      <c r="A19" s="12" t="str">
        <f>IF(VLOOKUP(B11,Hulpblad_categorieën_parameters!A81:S303,19,FALSE)="Productie warmte (kWh/jaar)","Productie warmte (kWh/jaar)","Niet van toepassing")</f>
        <v>Niet van toepassing</v>
      </c>
      <c r="B19" s="416"/>
      <c r="C19" s="417"/>
      <c r="D19" s="50"/>
      <c r="E19" s="51" t="str">
        <f>IF(A19="Productie warmte (kWh/jaar)","Het betreft hier de nuttige aanwending van geproduceerde warmte.","")</f>
        <v/>
      </c>
      <c r="F19" s="154"/>
    </row>
    <row r="20" spans="1:15" ht="12.75" customHeight="1" x14ac:dyDescent="0.25">
      <c r="A20" s="30" t="str">
        <f>VLOOKUP(B11,Hulpblad_categorieën_parameters!A81:U303,21,FALSE)</f>
        <v>Totale productie (kWh/jaar)</v>
      </c>
      <c r="B20" s="418">
        <f>IF(A19="",B18,B18+B19)</f>
        <v>0</v>
      </c>
      <c r="C20" s="419"/>
      <c r="D20" s="50"/>
      <c r="E20" s="52"/>
      <c r="F20" s="30"/>
    </row>
    <row r="21" spans="1:15" ht="12.75" customHeight="1" x14ac:dyDescent="0.25">
      <c r="A21" s="12" t="s">
        <v>44</v>
      </c>
      <c r="B21" s="420" t="e">
        <f>B20/B17</f>
        <v>#DIV/0!</v>
      </c>
      <c r="C21" s="421"/>
      <c r="D21" s="50"/>
      <c r="E21" s="6" t="e">
        <f>(IF(B21&gt;8766,"Aantal vollasturen kan niet hoger zijn dan het aantal uren per jaar!",IF(Hulpblad_categorieën_parameters!D25="Wind","Is dit de P50-waarde vollasturen?",IF(B21&gt;VLOOKUP(B11,Hulpblad_categorieën_parameters!A81:V303,12,FALSE),"Let op: U gaat meer produceren dan dan de "&amp;VLOOKUP(B11,Hulpblad_categorieën_parameters!A81:V303,12,FALSE)&amp;" subsidiabele vollasturen!",""))))</f>
        <v>#DIV/0!</v>
      </c>
    </row>
    <row r="22" spans="1:15" ht="12.75" customHeight="1" x14ac:dyDescent="0.25">
      <c r="A22" s="12"/>
      <c r="B22" s="53"/>
      <c r="C22" s="54"/>
      <c r="D22" s="50"/>
      <c r="E22" s="6"/>
    </row>
    <row r="23" spans="1:15" ht="12.75" customHeight="1" x14ac:dyDescent="0.25">
      <c r="A23" s="30" t="str">
        <f>VLOOKUP(B11,Hulpblad_categorieën_parameters!A81:V303,22,FALSE)</f>
        <v>Subsidiabele productie (kWh/jaar)</v>
      </c>
      <c r="B23" s="422">
        <f>MIN(B20,B17*VLOOKUP(B11,Hulpblad_categorieën_parameters!A81:V303,12,FALSE))</f>
        <v>0</v>
      </c>
      <c r="C23" s="422"/>
      <c r="D23" s="50"/>
      <c r="E23" s="6"/>
    </row>
    <row r="24" spans="1:15" ht="12.75" customHeight="1" x14ac:dyDescent="0.25">
      <c r="C24" s="41"/>
      <c r="D24" s="13"/>
      <c r="E24" s="38"/>
    </row>
    <row r="25" spans="1:15" ht="24" customHeight="1" x14ac:dyDescent="0.4">
      <c r="A25" s="151" t="s">
        <v>45</v>
      </c>
      <c r="D25" s="58"/>
      <c r="E25" s="30"/>
      <c r="F25" s="30"/>
      <c r="G25" s="30"/>
      <c r="H25" s="30"/>
      <c r="I25" s="30"/>
      <c r="J25" s="30"/>
      <c r="K25" s="30"/>
      <c r="L25" s="30"/>
      <c r="M25" s="30"/>
      <c r="N25" s="30"/>
      <c r="O25" s="30"/>
    </row>
    <row r="26" spans="1:15" ht="194.25" customHeight="1" x14ac:dyDescent="0.25">
      <c r="A26" s="423" t="str">
        <f>VLOOKUP(Hulpblad_overig!A199,Hulpblad_overig!A160:B196,2,FALSE)</f>
        <v xml:space="preserve">U vraagt subsidie aan voor een gebouwgebonden zon-PV-installatie. U hoeft geen energie-opbrengstberekening toe te voegen. Bij een gebouwgebonden zon-PV-installatie wordt de energieopbrengst (kWh/jaar) berekend door het piekvermogen van de installatie (in kWp) te vermenigvuldigen met 840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Bereken het beschikbare dakoppervlak en houd rekening met lichtstraten en klimaatinstallaties die op het dak staan. 
Ten slotte bent u verplicht om het ‘Verklaring draagkracht dakconstructie’ bij uw aanvraag te voegen (het model vindt u op de website van RVO). Hierin moet een constructeur een verklaring geven over de belastbaarheid van het dak of de gevel volgens het Besluit bouwwerken leefomgeving. Het onderzoek laat u uitvoeren en ondertekenen door een constructeur.  Reden voor het invoeren van deze eis is dat de realisatie van gebouw gebonden projecten achterblijft op de verwachting. Eén van de meest aangegeven redenen hiervoor is dat na het ontvangen van een beschikking het dak alsnog niet geschikt blijkt en de kosten om het dak geschikt te maken te hoog zijn. </v>
      </c>
      <c r="B26" s="424"/>
      <c r="C26" s="424"/>
      <c r="D26" s="424"/>
      <c r="E26" s="425"/>
      <c r="F26" s="55" t="str">
        <f>VLOOKUP(Hulpblad_categorieën_parameters!D75,Hulpblad_categorieën_parameters!A81:AA303,27,FALSE)</f>
        <v xml:space="preserve">Voor deze categorie geldt dat een project een gecontracteerd terugleververmogen van de netaansluiting voor de productie-installatie van maximaal 50% van het piekvermogen van de zonnepanelen mag hebben. </v>
      </c>
    </row>
    <row r="27" spans="1:15" ht="18.75" customHeight="1" x14ac:dyDescent="0.25">
      <c r="A27" s="3"/>
      <c r="B27" s="2"/>
      <c r="C27" s="2"/>
      <c r="D27" s="2"/>
      <c r="E27" s="2"/>
    </row>
    <row r="28" spans="1:15" ht="24" customHeight="1" x14ac:dyDescent="0.25">
      <c r="A28" s="151" t="s">
        <v>46</v>
      </c>
      <c r="B28" s="2"/>
      <c r="C28" s="2"/>
      <c r="D28" s="2"/>
      <c r="E28" s="2"/>
    </row>
    <row r="29" spans="1:15" ht="12.75" customHeight="1" x14ac:dyDescent="0.25">
      <c r="A29" s="12" t="str">
        <f>VLOOKUP(Hulpblad_overig!A215,Hulpblad_overig!A203:B212,2,FALSE)</f>
        <v>Niet van toepassing</v>
      </c>
      <c r="B29" s="2"/>
      <c r="C29" s="2"/>
      <c r="D29" s="2"/>
      <c r="E29" s="2"/>
      <c r="F29" s="6"/>
    </row>
    <row r="30" spans="1:15" ht="41.25" customHeight="1" x14ac:dyDescent="0.25">
      <c r="A30" s="12"/>
      <c r="B30" s="2"/>
      <c r="C30" s="2"/>
      <c r="D30" s="2"/>
      <c r="E30" s="2"/>
      <c r="F30" s="56" t="str">
        <f>IF(Hulpblad_overig!C221="","U moet nog een keuze maken hoe de warmte wordt aangewend!","")</f>
        <v/>
      </c>
    </row>
    <row r="31" spans="1:15" ht="24" customHeight="1" x14ac:dyDescent="0.25">
      <c r="A31" s="163" t="str">
        <f>VLOOKUP(Hulpblad_overig!C221,Hulpblad_overig!A224:B228,2,FALSE)</f>
        <v>Niet van toepassing</v>
      </c>
      <c r="B31" s="2"/>
      <c r="C31" s="2"/>
      <c r="D31" s="2"/>
      <c r="E31" s="2"/>
    </row>
    <row r="32" spans="1:15" ht="81" customHeight="1" x14ac:dyDescent="0.25">
      <c r="A32" s="426"/>
      <c r="B32" s="427"/>
      <c r="C32" s="427"/>
      <c r="D32" s="427"/>
      <c r="E32" s="428"/>
      <c r="F32" s="31" t="str">
        <f>IF(AND(A32="",A29="Hoe gaat u de warmte aanwenden?"),"U heeft nog niet vermeld waar de warmte voor wordt aangewend!","")</f>
        <v/>
      </c>
    </row>
    <row r="33" spans="1:16" ht="18.75" customHeight="1" x14ac:dyDescent="0.25">
      <c r="A33" s="3"/>
      <c r="B33" s="2"/>
      <c r="C33" s="2"/>
      <c r="D33" s="2"/>
      <c r="E33" s="2"/>
    </row>
    <row r="34" spans="1:16" ht="24" customHeight="1" x14ac:dyDescent="0.25">
      <c r="A34" s="151" t="s">
        <v>47</v>
      </c>
      <c r="B34" s="12"/>
      <c r="C34" s="12"/>
      <c r="D34" s="12"/>
      <c r="E34" s="12"/>
      <c r="G34" s="14"/>
      <c r="H34" s="38"/>
      <c r="I34" s="38"/>
      <c r="J34" s="38"/>
      <c r="K34" s="38"/>
      <c r="L34" s="38"/>
      <c r="M34" s="38"/>
      <c r="N34" s="38"/>
      <c r="O34" s="38"/>
    </row>
    <row r="35" spans="1:16" x14ac:dyDescent="0.25">
      <c r="A35" s="163" t="str">
        <f>IF(Hulpblad_overig!B218="Niet van toepassing","Niet van toepassing",IF(Hulpblad_overig!B221=2,"U gaat warmte leveren aan derden",IF(Hulpblad_overig!B221=3,"U gaat warmte leveren aan derden","Niet van toepassing")))</f>
        <v>Niet van toepassing</v>
      </c>
      <c r="B35" s="12"/>
      <c r="C35" s="12"/>
      <c r="D35" s="12"/>
      <c r="E35" s="12"/>
      <c r="G35" s="14"/>
      <c r="H35" s="38"/>
      <c r="I35" s="38"/>
      <c r="J35" s="38"/>
      <c r="K35" s="38"/>
      <c r="L35" s="38"/>
      <c r="M35" s="38"/>
      <c r="N35" s="38"/>
      <c r="O35" s="38"/>
    </row>
    <row r="36" spans="1:16" x14ac:dyDescent="0.25">
      <c r="B36" s="12"/>
      <c r="C36" s="12"/>
      <c r="D36" s="12"/>
      <c r="E36" s="12"/>
      <c r="G36" s="57"/>
      <c r="H36" s="38"/>
      <c r="I36" s="38"/>
      <c r="J36" s="38"/>
      <c r="K36" s="38"/>
      <c r="L36" s="38"/>
      <c r="M36" s="38"/>
      <c r="N36" s="38"/>
      <c r="O36" s="38"/>
    </row>
    <row r="37" spans="1:16" ht="76.5" customHeight="1" x14ac:dyDescent="0.25">
      <c r="A37" s="429" t="str">
        <f>IF(Hulpblad_overig!B218="Niet van toepassing","Niet van toepassing",IF(Hulpblad_overig!B221=2,Hulpblad_overig!A151,IF(Hulpblad_overig!B221=3,Hulpblad_overig!A151,"Niet van toepassing")))</f>
        <v>Niet van toepassing</v>
      </c>
      <c r="B37" s="430"/>
      <c r="C37" s="430"/>
      <c r="D37" s="430"/>
      <c r="E37" s="431"/>
      <c r="F37" s="12"/>
      <c r="G37" s="57"/>
      <c r="H37" s="38"/>
      <c r="I37" s="38"/>
      <c r="J37" s="38"/>
      <c r="K37" s="38"/>
      <c r="L37" s="38"/>
      <c r="M37" s="38"/>
      <c r="N37" s="38"/>
      <c r="O37" s="38"/>
    </row>
    <row r="38" spans="1:16" ht="18.75" customHeight="1" x14ac:dyDescent="0.25">
      <c r="B38" s="4"/>
      <c r="C38" s="12"/>
      <c r="D38" s="12"/>
      <c r="E38" s="12"/>
      <c r="G38" s="57"/>
      <c r="H38" s="11"/>
      <c r="I38" s="38"/>
      <c r="J38" s="38"/>
      <c r="K38" s="38"/>
      <c r="L38" s="38"/>
      <c r="M38" s="38"/>
      <c r="N38" s="38"/>
      <c r="O38" s="38"/>
    </row>
    <row r="39" spans="1:16" ht="24" customHeight="1" x14ac:dyDescent="0.4">
      <c r="A39" s="151" t="s">
        <v>48</v>
      </c>
      <c r="B39" s="4"/>
      <c r="C39" s="12"/>
      <c r="D39" s="12"/>
      <c r="E39" s="12"/>
      <c r="F39" s="58"/>
      <c r="G39" s="57"/>
      <c r="H39" s="11"/>
      <c r="I39" s="38"/>
      <c r="J39" s="38"/>
      <c r="K39" s="38"/>
      <c r="L39" s="38"/>
      <c r="M39" s="38"/>
      <c r="N39" s="38"/>
      <c r="O39" s="38"/>
    </row>
    <row r="40" spans="1:16" ht="21.75" customHeight="1" x14ac:dyDescent="0.25">
      <c r="A40" s="32" t="str">
        <f>IF(AND(Hulpblad_overig!A215="Hernieuwbaar gas",B17&lt;390),"Is voor de productie-installatie een aansluiting met een doorlaatwaarde groter dan 40 Nm3 per uur nodig?",IF(AND(Hulpblad_overig!A215="Hernieuwbaar gas",B17&gt;=390),"","Niet van toepassing"))</f>
        <v>Niet van toepassing</v>
      </c>
      <c r="B40" s="4"/>
      <c r="C40" s="12"/>
      <c r="D40" s="12"/>
      <c r="E40" s="12"/>
      <c r="G40" s="57"/>
      <c r="H40" s="11"/>
      <c r="I40" s="38"/>
      <c r="J40" s="38"/>
      <c r="K40" s="38"/>
      <c r="L40" s="38"/>
      <c r="M40" s="38"/>
      <c r="N40" s="38"/>
      <c r="O40" s="38"/>
    </row>
    <row r="41" spans="1:16" ht="50.25" customHeight="1" x14ac:dyDescent="0.25">
      <c r="A41" s="32"/>
      <c r="B41" s="4"/>
      <c r="C41" s="12"/>
      <c r="D41" s="12"/>
      <c r="E41" s="12"/>
      <c r="F41" s="31"/>
      <c r="G41" s="57"/>
      <c r="H41" s="11"/>
      <c r="I41" s="38"/>
      <c r="J41" s="38"/>
      <c r="K41" s="38"/>
      <c r="L41" s="38"/>
      <c r="M41" s="38"/>
      <c r="N41" s="38"/>
      <c r="O41" s="38"/>
    </row>
    <row r="42" spans="1:16" ht="75" customHeight="1" x14ac:dyDescent="0.25">
      <c r="A42" s="429" t="str">
        <f>IF(AND(Hulpblad_overig!A215="Hernieuwbaar gas",B17&gt;=390),Hulpblad_overig!A153,IF(AND(Hulpblad_overig!A215="Hernieuwbaar gas",B17&lt;390,Hulpblad_overig!B39=1),Hulpblad_overig!A153,"Niet van toepassing"))</f>
        <v>Niet van toepassing</v>
      </c>
      <c r="B42" s="430"/>
      <c r="C42" s="430"/>
      <c r="D42" s="430"/>
      <c r="E42" s="431"/>
      <c r="F42" s="55"/>
      <c r="G42" s="14"/>
      <c r="H42" s="38"/>
      <c r="I42" s="38"/>
      <c r="J42" s="38"/>
      <c r="K42" s="38"/>
      <c r="L42" s="38"/>
      <c r="M42" s="38"/>
      <c r="N42" s="38"/>
      <c r="O42" s="38"/>
    </row>
    <row r="43" spans="1:16" ht="19.5" customHeight="1" x14ac:dyDescent="0.25">
      <c r="A43" s="12"/>
      <c r="B43" s="4"/>
      <c r="C43" s="4"/>
      <c r="G43" s="14"/>
      <c r="H43" s="38"/>
      <c r="I43" s="38"/>
      <c r="J43" s="38"/>
      <c r="K43" s="38"/>
      <c r="L43" s="38"/>
      <c r="M43" s="38"/>
      <c r="N43" s="38"/>
      <c r="O43" s="38"/>
    </row>
    <row r="44" spans="1:16" ht="21" customHeight="1" x14ac:dyDescent="0.3">
      <c r="A44" s="151" t="s">
        <v>49</v>
      </c>
      <c r="C44" s="4"/>
      <c r="F44" s="59"/>
      <c r="G44" s="14"/>
      <c r="H44" s="38"/>
      <c r="I44" s="38"/>
      <c r="J44" s="38"/>
      <c r="K44" s="38"/>
      <c r="L44" s="38"/>
      <c r="M44" s="38"/>
      <c r="N44" s="38"/>
      <c r="O44" s="38"/>
    </row>
    <row r="45" spans="1:16" ht="18" customHeight="1" x14ac:dyDescent="0.25">
      <c r="A45" s="163" t="str">
        <f>IF(Hulpblad_overig!A215="CO₂-opslag","Gaat u zelf CO₂ transporteren én opslaan?","Niet van toepassing")</f>
        <v>Niet van toepassing</v>
      </c>
      <c r="B45" s="4"/>
      <c r="D45" s="30"/>
      <c r="E45" s="30"/>
      <c r="G45" s="42"/>
      <c r="H45" s="43"/>
      <c r="I45" s="43"/>
      <c r="J45" s="43"/>
      <c r="K45" s="43"/>
      <c r="L45" s="43"/>
      <c r="M45" s="43"/>
      <c r="N45" s="43"/>
      <c r="O45" s="43"/>
    </row>
    <row r="46" spans="1:16" ht="62.25" customHeight="1" x14ac:dyDescent="0.25">
      <c r="A46" s="66"/>
      <c r="C46" s="4"/>
      <c r="G46" s="14"/>
      <c r="H46" s="38"/>
      <c r="I46" s="38"/>
      <c r="J46" s="38"/>
      <c r="K46" s="38"/>
      <c r="L46" s="38"/>
      <c r="M46" s="38"/>
      <c r="N46" s="38"/>
      <c r="O46" s="38"/>
    </row>
    <row r="47" spans="1:16" s="30" customFormat="1" ht="63.75" customHeight="1" x14ac:dyDescent="0.2">
      <c r="A47" s="408" t="str">
        <f>IF(AND(Hulpblad_overig!A215="CO₂-opslag",Hulpblad_overig!C39=2),Hulpblad_overig!A155,IF(AND(A45="Gaat u zelf CO₂ transporteren én opslaan?",Hulpblad_overig!C39=1),Hulpblad_overig!A157,"Niet van toepassing"))</f>
        <v>Niet van toepassing</v>
      </c>
      <c r="B47" s="409"/>
      <c r="C47" s="409"/>
      <c r="D47" s="409"/>
      <c r="E47" s="410"/>
      <c r="G47" s="42"/>
      <c r="H47" s="43"/>
      <c r="I47" s="43"/>
      <c r="J47" s="43"/>
      <c r="K47" s="43"/>
      <c r="L47" s="43"/>
      <c r="M47" s="43"/>
      <c r="N47" s="43"/>
      <c r="O47" s="43"/>
      <c r="P47" s="43"/>
    </row>
    <row r="48" spans="1:16" s="30" customFormat="1" ht="18" x14ac:dyDescent="0.25">
      <c r="A48" s="28"/>
      <c r="G48" s="42"/>
      <c r="H48" s="43"/>
      <c r="I48" s="43"/>
      <c r="J48" s="43"/>
      <c r="K48" s="43"/>
      <c r="L48" s="43"/>
      <c r="M48" s="43"/>
      <c r="N48" s="43"/>
      <c r="O48" s="43"/>
      <c r="P48" s="43"/>
    </row>
    <row r="49" spans="1:16" s="30" customFormat="1" x14ac:dyDescent="0.25">
      <c r="D49" s="4"/>
      <c r="E49" s="4"/>
      <c r="G49" s="42"/>
      <c r="H49" s="43"/>
      <c r="I49" s="43"/>
      <c r="J49" s="43"/>
      <c r="K49" s="43"/>
      <c r="L49" s="43"/>
      <c r="M49" s="43"/>
      <c r="N49" s="43"/>
      <c r="O49" s="43"/>
      <c r="P49" s="43"/>
    </row>
    <row r="50" spans="1:16" s="30" customFormat="1" x14ac:dyDescent="0.25">
      <c r="A50" s="12"/>
      <c r="D50" s="4"/>
      <c r="E50" s="4"/>
      <c r="G50" s="42"/>
      <c r="H50" s="43"/>
      <c r="I50" s="43"/>
      <c r="J50" s="43"/>
      <c r="K50" s="43"/>
      <c r="L50" s="43"/>
      <c r="M50" s="43"/>
      <c r="N50" s="43"/>
      <c r="O50" s="43"/>
      <c r="P50" s="43"/>
    </row>
    <row r="51" spans="1:16" s="30" customFormat="1" x14ac:dyDescent="0.25">
      <c r="A51" s="12"/>
      <c r="D51" s="4"/>
      <c r="E51" s="45"/>
      <c r="G51" s="42"/>
      <c r="H51" s="43"/>
      <c r="I51" s="43"/>
      <c r="J51" s="43"/>
      <c r="K51" s="43"/>
      <c r="L51" s="43"/>
      <c r="M51" s="43"/>
      <c r="N51" s="43"/>
      <c r="O51" s="43"/>
      <c r="P51" s="43"/>
    </row>
    <row r="52" spans="1:16" s="30" customFormat="1" x14ac:dyDescent="0.25">
      <c r="A52" s="12"/>
      <c r="D52" s="4"/>
      <c r="E52" s="14"/>
      <c r="G52" s="42"/>
      <c r="H52" s="43"/>
      <c r="I52" s="43"/>
      <c r="J52" s="43"/>
      <c r="K52" s="43"/>
      <c r="L52" s="43"/>
      <c r="M52" s="43"/>
      <c r="N52" s="43"/>
      <c r="O52" s="43"/>
      <c r="P52" s="43"/>
    </row>
    <row r="53" spans="1:16" s="30" customFormat="1" x14ac:dyDescent="0.25">
      <c r="D53" s="4"/>
      <c r="E53" s="14"/>
      <c r="G53" s="42"/>
      <c r="H53" s="43"/>
      <c r="I53" s="43"/>
      <c r="J53" s="43"/>
      <c r="K53" s="43"/>
      <c r="L53" s="43"/>
      <c r="M53" s="43"/>
      <c r="N53" s="43"/>
      <c r="O53" s="43"/>
      <c r="P53" s="43"/>
    </row>
    <row r="54" spans="1:16" s="30" customFormat="1" x14ac:dyDescent="0.25">
      <c r="A54" s="12"/>
      <c r="D54" s="4"/>
      <c r="E54" s="14"/>
      <c r="G54" s="42"/>
      <c r="H54" s="43"/>
      <c r="I54" s="43"/>
      <c r="J54" s="43"/>
      <c r="K54" s="43"/>
      <c r="L54" s="43"/>
      <c r="M54" s="43"/>
      <c r="N54" s="43"/>
      <c r="O54" s="43"/>
      <c r="P54" s="43"/>
    </row>
    <row r="55" spans="1:16" s="30" customFormat="1" x14ac:dyDescent="0.25">
      <c r="A55" s="12"/>
      <c r="D55" s="4"/>
      <c r="E55" s="45"/>
      <c r="G55" s="42"/>
      <c r="H55" s="43"/>
      <c r="I55" s="43"/>
      <c r="J55" s="43"/>
      <c r="K55" s="43"/>
      <c r="L55" s="43"/>
      <c r="M55" s="43"/>
      <c r="N55" s="43"/>
      <c r="O55" s="43"/>
      <c r="P55" s="43"/>
    </row>
    <row r="56" spans="1:16" s="30" customFormat="1" x14ac:dyDescent="0.25">
      <c r="A56" s="12"/>
      <c r="D56" s="4"/>
      <c r="E56" s="14"/>
      <c r="G56" s="42"/>
      <c r="H56" s="43"/>
      <c r="I56" s="43"/>
      <c r="J56" s="43"/>
      <c r="K56" s="43"/>
      <c r="L56" s="43"/>
      <c r="M56" s="43"/>
      <c r="N56" s="43"/>
      <c r="O56" s="43"/>
      <c r="P56" s="43"/>
    </row>
    <row r="57" spans="1:16" s="30" customFormat="1" x14ac:dyDescent="0.25">
      <c r="A57" s="12"/>
      <c r="D57" s="4"/>
      <c r="E57" s="60"/>
      <c r="G57" s="42"/>
      <c r="H57" s="43"/>
      <c r="I57" s="43"/>
      <c r="J57" s="43"/>
      <c r="K57" s="43"/>
      <c r="L57" s="43"/>
      <c r="M57" s="43"/>
      <c r="N57" s="43"/>
      <c r="O57" s="43"/>
      <c r="P57" s="43"/>
    </row>
    <row r="58" spans="1:16" s="30" customFormat="1" x14ac:dyDescent="0.25">
      <c r="A58" s="12"/>
      <c r="D58" s="4"/>
      <c r="E58" s="61"/>
      <c r="G58" s="42"/>
      <c r="H58" s="43"/>
      <c r="I58" s="43"/>
      <c r="J58" s="43"/>
      <c r="K58" s="43"/>
      <c r="L58" s="43"/>
      <c r="M58" s="43"/>
      <c r="N58" s="43"/>
      <c r="O58" s="43"/>
      <c r="P58" s="43"/>
    </row>
    <row r="59" spans="1:16" s="30" customFormat="1" x14ac:dyDescent="0.25">
      <c r="A59" s="4"/>
      <c r="D59" s="4"/>
      <c r="E59" s="62"/>
      <c r="G59" s="42"/>
      <c r="H59" s="43"/>
      <c r="I59" s="43"/>
      <c r="J59" s="43"/>
      <c r="K59" s="43"/>
      <c r="L59" s="43"/>
      <c r="M59" s="43"/>
      <c r="N59" s="43"/>
      <c r="O59" s="43"/>
      <c r="P59" s="43"/>
    </row>
    <row r="60" spans="1:16" ht="18" x14ac:dyDescent="0.25">
      <c r="A60" s="28"/>
      <c r="G60" s="14"/>
      <c r="H60" s="38"/>
      <c r="I60" s="38"/>
      <c r="J60" s="38"/>
      <c r="K60" s="38"/>
      <c r="L60" s="38"/>
      <c r="M60" s="38"/>
      <c r="N60" s="38"/>
      <c r="O60" s="38"/>
    </row>
    <row r="61" spans="1:16" x14ac:dyDescent="0.25">
      <c r="A61" s="30"/>
      <c r="H61" s="38"/>
      <c r="I61" s="38"/>
      <c r="J61" s="38"/>
      <c r="K61" s="38"/>
      <c r="L61" s="38"/>
      <c r="M61" s="38"/>
      <c r="N61" s="38"/>
      <c r="O61" s="38"/>
    </row>
    <row r="62" spans="1:16" ht="12.75" customHeight="1" x14ac:dyDescent="0.25">
      <c r="A62" s="12"/>
      <c r="H62" s="38"/>
      <c r="I62" s="38"/>
      <c r="J62" s="38"/>
      <c r="K62" s="38"/>
      <c r="L62" s="38"/>
      <c r="M62" s="38"/>
      <c r="N62" s="38"/>
      <c r="O62" s="38"/>
    </row>
    <row r="63" spans="1:16" ht="12.75" customHeight="1" x14ac:dyDescent="0.25">
      <c r="A63" s="12"/>
      <c r="E63" s="57"/>
      <c r="H63" s="38"/>
      <c r="I63" s="38"/>
      <c r="J63" s="38"/>
      <c r="K63" s="38"/>
      <c r="L63" s="38"/>
      <c r="M63" s="38"/>
      <c r="N63" s="38"/>
      <c r="O63" s="38"/>
    </row>
    <row r="64" spans="1:16" ht="12.75" customHeight="1" x14ac:dyDescent="0.25">
      <c r="A64" s="12"/>
      <c r="E64" s="63"/>
      <c r="F64" s="12"/>
      <c r="H64" s="38"/>
      <c r="I64" s="38"/>
      <c r="J64" s="38"/>
      <c r="K64" s="38"/>
      <c r="L64" s="38"/>
      <c r="M64" s="38"/>
      <c r="N64" s="38"/>
      <c r="O64" s="38"/>
    </row>
    <row r="65" spans="1:15" ht="12.75" customHeight="1" x14ac:dyDescent="0.25">
      <c r="A65" s="30"/>
      <c r="E65" s="64"/>
      <c r="H65" s="38"/>
      <c r="I65" s="38"/>
      <c r="J65" s="38"/>
      <c r="K65" s="38"/>
      <c r="L65" s="38"/>
      <c r="M65" s="38"/>
      <c r="N65" s="38"/>
      <c r="O65" s="38"/>
    </row>
    <row r="66" spans="1:15" ht="12.75" customHeight="1" x14ac:dyDescent="0.25">
      <c r="A66" s="28"/>
      <c r="E66" s="64"/>
      <c r="H66" s="42"/>
      <c r="I66" s="42"/>
      <c r="J66" s="42"/>
      <c r="K66" s="42"/>
      <c r="L66" s="42"/>
      <c r="M66" s="42"/>
      <c r="N66" s="42"/>
      <c r="O66" s="42"/>
    </row>
    <row r="67" spans="1:15" ht="12.75" customHeight="1" x14ac:dyDescent="0.25">
      <c r="A67" s="30"/>
      <c r="H67" s="38"/>
      <c r="I67" s="38"/>
      <c r="J67" s="38"/>
      <c r="K67" s="38"/>
      <c r="L67" s="38"/>
      <c r="M67" s="38"/>
      <c r="N67" s="38"/>
      <c r="O67" s="38"/>
    </row>
    <row r="68" spans="1:15" x14ac:dyDescent="0.25">
      <c r="A68" s="12"/>
      <c r="H68" s="38"/>
      <c r="I68" s="38"/>
      <c r="J68" s="38"/>
      <c r="K68" s="38"/>
      <c r="L68" s="38"/>
      <c r="M68" s="38"/>
      <c r="N68" s="38"/>
      <c r="O68" s="38"/>
    </row>
    <row r="69" spans="1:15" ht="12.75" customHeight="1" x14ac:dyDescent="0.25">
      <c r="A69" s="12"/>
      <c r="E69" s="14"/>
      <c r="H69" s="38"/>
      <c r="I69" s="38"/>
      <c r="J69" s="38"/>
      <c r="K69" s="38"/>
      <c r="L69" s="38"/>
      <c r="M69" s="38"/>
      <c r="N69" s="38"/>
      <c r="O69" s="38"/>
    </row>
    <row r="70" spans="1:15" ht="12.75" customHeight="1" x14ac:dyDescent="0.25">
      <c r="A70" s="12"/>
      <c r="E70" s="63"/>
      <c r="H70" s="38"/>
      <c r="I70" s="38"/>
      <c r="J70" s="38"/>
      <c r="K70" s="38"/>
      <c r="L70" s="38"/>
      <c r="M70" s="38"/>
      <c r="N70" s="38"/>
      <c r="O70" s="38"/>
    </row>
    <row r="71" spans="1:15" ht="12.75" customHeight="1" x14ac:dyDescent="0.25">
      <c r="A71" s="12"/>
      <c r="E71" s="65"/>
      <c r="H71" s="38"/>
      <c r="I71" s="38"/>
      <c r="J71" s="38"/>
      <c r="K71" s="38"/>
      <c r="L71" s="38"/>
      <c r="M71" s="38"/>
      <c r="N71" s="38"/>
      <c r="O71" s="38"/>
    </row>
    <row r="72" spans="1:15" ht="12.75" customHeight="1" x14ac:dyDescent="0.25">
      <c r="A72" s="12"/>
      <c r="E72" s="64"/>
      <c r="H72" s="38"/>
      <c r="I72" s="38"/>
      <c r="J72" s="38"/>
      <c r="K72" s="38"/>
      <c r="L72" s="38"/>
      <c r="M72" s="38"/>
      <c r="N72" s="38"/>
      <c r="O72" s="38"/>
    </row>
    <row r="73" spans="1:15" ht="12.75" customHeight="1" x14ac:dyDescent="0.25">
      <c r="A73" s="30"/>
      <c r="E73" s="64"/>
      <c r="H73" s="65"/>
      <c r="I73" s="65"/>
      <c r="J73" s="65"/>
      <c r="K73" s="65"/>
      <c r="L73" s="65"/>
      <c r="M73" s="65"/>
      <c r="N73" s="65"/>
      <c r="O73" s="65"/>
    </row>
    <row r="74" spans="1:15" ht="12.75" customHeight="1" x14ac:dyDescent="0.25">
      <c r="A74" s="30"/>
      <c r="E74" s="64"/>
      <c r="H74" s="42"/>
      <c r="I74" s="42"/>
      <c r="J74" s="42"/>
      <c r="K74" s="42"/>
      <c r="L74" s="42"/>
      <c r="M74" s="42"/>
      <c r="N74" s="42"/>
      <c r="O74" s="42"/>
    </row>
    <row r="75" spans="1:15" ht="12.75" customHeight="1" x14ac:dyDescent="0.25">
      <c r="A75" s="30"/>
      <c r="E75" s="64"/>
      <c r="H75" s="42"/>
      <c r="J75" s="42"/>
      <c r="K75" s="42"/>
      <c r="L75" s="42"/>
      <c r="M75" s="42"/>
      <c r="N75" s="42"/>
      <c r="O75" s="42"/>
    </row>
    <row r="76" spans="1:15" x14ac:dyDescent="0.25">
      <c r="B76" s="16"/>
      <c r="H76" s="38"/>
      <c r="I76" s="38"/>
      <c r="J76" s="38"/>
      <c r="K76" s="38"/>
      <c r="L76" s="38"/>
      <c r="M76" s="38"/>
      <c r="N76" s="38"/>
      <c r="O76" s="38"/>
    </row>
    <row r="77" spans="1:15" x14ac:dyDescent="0.25">
      <c r="B77" s="12"/>
      <c r="C77" s="16"/>
      <c r="D77" s="16"/>
      <c r="E77" s="16"/>
      <c r="G77" s="38"/>
      <c r="H77" s="14"/>
      <c r="I77" s="14"/>
      <c r="J77" s="14"/>
      <c r="K77" s="14"/>
      <c r="L77" s="14"/>
      <c r="M77" s="14"/>
      <c r="N77" s="14"/>
      <c r="O77" s="14"/>
    </row>
    <row r="78" spans="1:15" x14ac:dyDescent="0.25">
      <c r="A78" s="30"/>
      <c r="C78" s="12"/>
      <c r="D78" s="12"/>
      <c r="E78" s="12"/>
      <c r="G78" s="38"/>
      <c r="H78" s="14"/>
      <c r="I78" s="14"/>
      <c r="J78" s="14"/>
      <c r="K78" s="14"/>
      <c r="L78" s="14"/>
      <c r="M78" s="14"/>
      <c r="N78" s="14"/>
      <c r="O78" s="14"/>
    </row>
    <row r="79" spans="1:15" x14ac:dyDescent="0.25">
      <c r="G79" s="38"/>
      <c r="H79" s="42"/>
      <c r="I79" s="42"/>
      <c r="J79" s="42"/>
      <c r="K79" s="42"/>
      <c r="L79" s="42"/>
      <c r="M79" s="42"/>
      <c r="N79" s="42"/>
      <c r="O79" s="42"/>
    </row>
    <row r="80" spans="1:15" x14ac:dyDescent="0.25">
      <c r="A80" s="66"/>
      <c r="G80" s="38"/>
      <c r="H80" s="14"/>
      <c r="I80" s="14"/>
      <c r="J80" s="14"/>
      <c r="K80" s="14"/>
      <c r="L80" s="14"/>
      <c r="M80" s="14"/>
      <c r="N80" s="14"/>
      <c r="O80" s="14"/>
    </row>
    <row r="81" spans="1:15" s="30" customFormat="1" x14ac:dyDescent="0.25">
      <c r="A81" s="4"/>
      <c r="G81" s="43"/>
      <c r="H81" s="42"/>
      <c r="I81" s="42"/>
      <c r="J81" s="42"/>
      <c r="K81" s="42"/>
      <c r="L81" s="42"/>
      <c r="M81" s="42"/>
      <c r="N81" s="42"/>
      <c r="O81" s="42"/>
    </row>
    <row r="82" spans="1:15" ht="18" x14ac:dyDescent="0.25">
      <c r="A82" s="28"/>
      <c r="H82" s="14"/>
      <c r="I82" s="14"/>
      <c r="J82" s="14"/>
      <c r="K82" s="14"/>
      <c r="L82" s="14"/>
      <c r="M82" s="14"/>
      <c r="N82" s="14"/>
      <c r="O82" s="14"/>
    </row>
    <row r="83" spans="1:15" x14ac:dyDescent="0.25">
      <c r="A83" s="12"/>
      <c r="H83" s="38"/>
      <c r="I83" s="38"/>
      <c r="J83" s="38"/>
      <c r="K83" s="38"/>
      <c r="L83" s="38"/>
      <c r="M83" s="38"/>
      <c r="N83" s="38"/>
      <c r="O83" s="38"/>
    </row>
    <row r="84" spans="1:15" x14ac:dyDescent="0.25">
      <c r="B84" s="16"/>
      <c r="H84" s="38"/>
      <c r="I84" s="38"/>
      <c r="J84" s="38"/>
      <c r="K84" s="38"/>
      <c r="L84" s="38"/>
      <c r="M84" s="38"/>
      <c r="N84" s="38"/>
      <c r="O84" s="42"/>
    </row>
    <row r="85" spans="1:15" x14ac:dyDescent="0.25">
      <c r="B85" s="38"/>
      <c r="C85" s="16"/>
      <c r="D85" s="16"/>
      <c r="E85" s="16"/>
      <c r="G85" s="14"/>
      <c r="H85" s="14"/>
      <c r="I85" s="14"/>
      <c r="J85" s="14"/>
      <c r="K85" s="14"/>
      <c r="L85" s="14"/>
      <c r="M85" s="14"/>
      <c r="N85" s="14"/>
      <c r="O85" s="14"/>
    </row>
    <row r="86" spans="1:15" x14ac:dyDescent="0.25">
      <c r="B86" s="38"/>
      <c r="C86" s="38"/>
      <c r="D86" s="38"/>
      <c r="E86" s="38"/>
      <c r="G86" s="14"/>
      <c r="H86" s="14"/>
      <c r="I86" s="14"/>
      <c r="J86" s="14"/>
      <c r="K86" s="14"/>
      <c r="L86" s="14"/>
      <c r="M86" s="14"/>
      <c r="N86" s="14"/>
      <c r="O86" s="14"/>
    </row>
    <row r="87" spans="1:15" x14ac:dyDescent="0.25">
      <c r="B87" s="38"/>
      <c r="C87" s="38"/>
      <c r="D87" s="38"/>
      <c r="E87" s="38"/>
      <c r="G87" s="14"/>
      <c r="H87" s="14"/>
      <c r="I87" s="14"/>
      <c r="J87" s="14"/>
      <c r="K87" s="14"/>
      <c r="L87" s="14"/>
      <c r="M87" s="14"/>
      <c r="N87" s="14"/>
      <c r="O87" s="14"/>
    </row>
    <row r="88" spans="1:15" x14ac:dyDescent="0.25">
      <c r="B88" s="16"/>
      <c r="C88" s="38"/>
      <c r="D88" s="38"/>
      <c r="E88" s="38"/>
      <c r="G88" s="14"/>
      <c r="H88" s="14"/>
      <c r="I88" s="14"/>
      <c r="J88" s="14"/>
      <c r="K88" s="14"/>
      <c r="L88" s="14"/>
      <c r="M88" s="14"/>
      <c r="N88" s="14"/>
      <c r="O88" s="14"/>
    </row>
    <row r="89" spans="1:15" x14ac:dyDescent="0.25">
      <c r="B89" s="38"/>
      <c r="C89" s="16"/>
      <c r="D89" s="16"/>
      <c r="E89" s="16"/>
      <c r="G89" s="14"/>
      <c r="H89" s="14"/>
      <c r="I89" s="14"/>
      <c r="J89" s="14"/>
      <c r="K89" s="14"/>
      <c r="L89" s="14"/>
      <c r="M89" s="14"/>
      <c r="N89" s="14"/>
      <c r="O89" s="14"/>
    </row>
    <row r="90" spans="1:15" x14ac:dyDescent="0.25">
      <c r="B90" s="38"/>
      <c r="C90" s="38"/>
      <c r="D90" s="38"/>
      <c r="E90" s="38"/>
      <c r="G90" s="14"/>
      <c r="H90" s="14"/>
      <c r="I90" s="14"/>
      <c r="J90" s="14"/>
      <c r="K90" s="14"/>
      <c r="L90" s="14"/>
      <c r="M90" s="14"/>
      <c r="N90" s="14"/>
      <c r="O90" s="14"/>
    </row>
    <row r="91" spans="1:15" x14ac:dyDescent="0.25">
      <c r="B91" s="38"/>
      <c r="C91" s="38"/>
      <c r="D91" s="38"/>
      <c r="E91" s="38"/>
      <c r="G91" s="14"/>
      <c r="H91" s="14"/>
      <c r="I91" s="14"/>
      <c r="J91" s="14"/>
      <c r="K91" s="14"/>
      <c r="L91" s="14"/>
      <c r="M91" s="14"/>
      <c r="N91" s="14"/>
      <c r="O91" s="14"/>
    </row>
    <row r="92" spans="1:15" x14ac:dyDescent="0.25">
      <c r="B92" s="38"/>
      <c r="C92" s="38"/>
      <c r="D92" s="38"/>
      <c r="E92" s="38"/>
      <c r="G92" s="14"/>
      <c r="H92" s="14"/>
      <c r="I92" s="14"/>
      <c r="J92" s="14"/>
      <c r="K92" s="14"/>
      <c r="L92" s="14"/>
      <c r="M92" s="14"/>
      <c r="N92" s="14"/>
      <c r="O92" s="14"/>
    </row>
    <row r="93" spans="1:15" x14ac:dyDescent="0.25">
      <c r="B93" s="16"/>
      <c r="C93" s="38"/>
      <c r="D93" s="38"/>
      <c r="E93" s="38"/>
      <c r="G93" s="14"/>
      <c r="H93" s="14"/>
      <c r="I93" s="14"/>
      <c r="J93" s="14"/>
      <c r="K93" s="14"/>
      <c r="L93" s="14"/>
      <c r="M93" s="14"/>
      <c r="N93" s="14"/>
      <c r="O93" s="14"/>
    </row>
    <row r="94" spans="1:15" x14ac:dyDescent="0.25">
      <c r="B94" s="38"/>
      <c r="C94" s="16"/>
      <c r="D94" s="16"/>
      <c r="E94" s="16"/>
      <c r="G94" s="14"/>
      <c r="H94" s="14"/>
      <c r="I94" s="14"/>
      <c r="J94" s="14"/>
      <c r="K94" s="14"/>
      <c r="L94" s="14"/>
      <c r="M94" s="14"/>
      <c r="N94" s="14"/>
      <c r="O94" s="14"/>
    </row>
    <row r="95" spans="1:15" x14ac:dyDescent="0.25">
      <c r="B95" s="38"/>
      <c r="C95" s="38"/>
      <c r="D95" s="38"/>
      <c r="E95" s="38"/>
      <c r="G95" s="14"/>
      <c r="H95" s="14"/>
      <c r="I95" s="14"/>
      <c r="J95" s="14"/>
      <c r="K95" s="14"/>
      <c r="L95" s="14"/>
      <c r="M95" s="14"/>
      <c r="N95" s="14"/>
      <c r="O95" s="14"/>
    </row>
    <row r="96" spans="1:15" x14ac:dyDescent="0.25">
      <c r="A96" s="30"/>
      <c r="B96" s="43"/>
      <c r="C96" s="38"/>
      <c r="D96" s="38"/>
      <c r="E96" s="38"/>
      <c r="F96" s="6"/>
      <c r="G96" s="57"/>
      <c r="H96" s="57"/>
      <c r="I96" s="57"/>
      <c r="J96" s="57"/>
      <c r="K96" s="57"/>
      <c r="L96" s="57"/>
      <c r="M96" s="57"/>
      <c r="N96" s="57"/>
      <c r="O96" s="57"/>
    </row>
    <row r="97" spans="1:15" s="30" customFormat="1" ht="12.75" x14ac:dyDescent="0.2">
      <c r="B97" s="43"/>
      <c r="C97" s="43"/>
      <c r="D97" s="43"/>
      <c r="E97" s="43"/>
      <c r="G97" s="42"/>
      <c r="H97" s="42"/>
      <c r="I97" s="42"/>
      <c r="J97" s="42"/>
      <c r="K97" s="42"/>
      <c r="L97" s="42"/>
      <c r="M97" s="42"/>
      <c r="N97" s="42"/>
      <c r="O97" s="42"/>
    </row>
    <row r="98" spans="1:15" s="30" customFormat="1" ht="12.75" x14ac:dyDescent="0.2">
      <c r="B98" s="43"/>
      <c r="C98" s="43"/>
      <c r="D98" s="43"/>
      <c r="E98" s="43"/>
      <c r="G98" s="42"/>
      <c r="H98" s="42"/>
      <c r="I98" s="42"/>
      <c r="J98" s="42"/>
      <c r="K98" s="42"/>
      <c r="L98" s="42"/>
      <c r="M98" s="42"/>
      <c r="N98" s="42"/>
      <c r="O98" s="42"/>
    </row>
    <row r="99" spans="1:15" s="30" customFormat="1" ht="12.75" x14ac:dyDescent="0.2">
      <c r="A99" s="12"/>
      <c r="B99" s="16"/>
      <c r="C99" s="43"/>
      <c r="D99" s="43"/>
      <c r="E99" s="43"/>
      <c r="G99" s="43"/>
      <c r="H99" s="43"/>
      <c r="I99" s="43"/>
      <c r="J99" s="43"/>
      <c r="K99" s="43"/>
      <c r="L99" s="43"/>
      <c r="M99" s="43"/>
      <c r="N99" s="43"/>
      <c r="O99" s="43"/>
    </row>
    <row r="100" spans="1:15" s="30" customFormat="1" ht="12.75" x14ac:dyDescent="0.2">
      <c r="B100" s="15"/>
      <c r="C100" s="43"/>
      <c r="D100" s="12"/>
      <c r="E100" s="12"/>
    </row>
    <row r="101" spans="1:15" s="30" customFormat="1" ht="12.75" x14ac:dyDescent="0.2">
      <c r="B101" s="15"/>
      <c r="C101" s="15"/>
      <c r="D101" s="57"/>
      <c r="E101" s="67"/>
      <c r="F101" s="68"/>
      <c r="G101" s="42"/>
      <c r="H101" s="57"/>
      <c r="I101" s="57"/>
      <c r="J101" s="57"/>
      <c r="K101" s="57"/>
      <c r="L101" s="57"/>
      <c r="M101" s="57"/>
      <c r="N101" s="57"/>
      <c r="O101" s="57"/>
    </row>
    <row r="102" spans="1:15" s="30" customFormat="1" x14ac:dyDescent="0.25">
      <c r="B102" s="15"/>
      <c r="C102" s="15"/>
      <c r="D102" s="57"/>
      <c r="E102" s="67"/>
      <c r="F102" s="68"/>
      <c r="G102" s="42"/>
      <c r="H102" s="14"/>
      <c r="I102" s="57"/>
      <c r="J102" s="57"/>
      <c r="K102" s="57"/>
      <c r="L102" s="57"/>
      <c r="M102" s="57"/>
      <c r="N102" s="57"/>
      <c r="O102" s="57"/>
    </row>
    <row r="103" spans="1:15" s="30" customFormat="1" x14ac:dyDescent="0.25">
      <c r="B103" s="15"/>
      <c r="C103" s="15"/>
      <c r="D103" s="57"/>
      <c r="E103" s="67"/>
      <c r="F103" s="68"/>
      <c r="G103" s="42"/>
      <c r="H103" s="14"/>
      <c r="I103" s="57"/>
      <c r="J103" s="57"/>
      <c r="K103" s="57"/>
      <c r="L103" s="57"/>
      <c r="M103" s="57"/>
      <c r="N103" s="57"/>
      <c r="O103" s="57"/>
    </row>
    <row r="104" spans="1:15" s="30" customFormat="1" x14ac:dyDescent="0.25">
      <c r="B104" s="15"/>
      <c r="C104" s="15"/>
      <c r="D104" s="57"/>
      <c r="E104" s="67"/>
      <c r="F104" s="68"/>
      <c r="G104" s="42"/>
      <c r="H104" s="14"/>
      <c r="I104" s="57"/>
      <c r="J104" s="57"/>
      <c r="K104" s="57"/>
      <c r="L104" s="57"/>
      <c r="M104" s="57"/>
      <c r="N104" s="57"/>
      <c r="O104" s="57"/>
    </row>
    <row r="105" spans="1:15" s="30" customFormat="1" x14ac:dyDescent="0.25">
      <c r="B105" s="15"/>
      <c r="C105" s="15"/>
      <c r="D105" s="57"/>
      <c r="E105" s="67"/>
      <c r="F105" s="68"/>
      <c r="G105" s="42"/>
      <c r="H105" s="14"/>
      <c r="I105" s="57"/>
      <c r="J105" s="57"/>
      <c r="K105" s="57"/>
      <c r="L105" s="57"/>
      <c r="M105" s="57"/>
      <c r="N105" s="57"/>
      <c r="O105" s="57"/>
    </row>
    <row r="106" spans="1:15" s="30" customFormat="1" x14ac:dyDescent="0.25">
      <c r="B106" s="15"/>
      <c r="C106" s="15"/>
      <c r="D106" s="57"/>
      <c r="E106" s="67"/>
      <c r="G106" s="42"/>
      <c r="H106" s="14"/>
      <c r="I106" s="57"/>
      <c r="J106" s="57"/>
      <c r="K106" s="57"/>
      <c r="L106" s="57"/>
      <c r="M106" s="57"/>
      <c r="N106" s="57"/>
      <c r="O106" s="57"/>
    </row>
    <row r="107" spans="1:15" s="30" customFormat="1" x14ac:dyDescent="0.25">
      <c r="B107" s="15"/>
      <c r="C107" s="15"/>
      <c r="D107" s="57"/>
      <c r="E107" s="67"/>
      <c r="G107" s="42"/>
      <c r="H107" s="14"/>
      <c r="I107" s="57"/>
      <c r="J107" s="57"/>
      <c r="K107" s="57"/>
      <c r="L107" s="57"/>
      <c r="M107" s="57"/>
      <c r="N107" s="57"/>
      <c r="O107" s="57"/>
    </row>
    <row r="108" spans="1:15" s="30" customFormat="1" x14ac:dyDescent="0.25">
      <c r="B108" s="43"/>
      <c r="C108" s="15"/>
      <c r="D108" s="57"/>
      <c r="E108" s="67"/>
      <c r="G108" s="42"/>
      <c r="H108" s="14"/>
      <c r="I108" s="57"/>
      <c r="J108" s="57"/>
      <c r="K108" s="57"/>
      <c r="L108" s="57"/>
      <c r="M108" s="57"/>
      <c r="N108" s="57"/>
      <c r="O108" s="57"/>
    </row>
    <row r="109" spans="1:15" s="30" customFormat="1" ht="12.75" x14ac:dyDescent="0.2">
      <c r="A109" s="12"/>
      <c r="B109" s="43"/>
      <c r="C109" s="43"/>
      <c r="E109" s="43"/>
      <c r="G109" s="42"/>
      <c r="H109" s="9"/>
      <c r="I109" s="42"/>
      <c r="J109" s="42"/>
      <c r="K109" s="42"/>
      <c r="L109" s="42"/>
      <c r="M109" s="42"/>
      <c r="N109" s="42"/>
      <c r="O109" s="42"/>
    </row>
    <row r="110" spans="1:15" s="30" customFormat="1" ht="12.75" x14ac:dyDescent="0.2">
      <c r="B110" s="43"/>
      <c r="C110" s="43"/>
      <c r="D110" s="43"/>
      <c r="E110" s="43"/>
      <c r="G110" s="42"/>
      <c r="H110" s="42"/>
      <c r="I110" s="42"/>
      <c r="J110" s="42"/>
      <c r="K110" s="42"/>
      <c r="L110" s="42"/>
      <c r="M110" s="42"/>
      <c r="N110" s="42"/>
      <c r="O110" s="42"/>
    </row>
    <row r="111" spans="1:15" s="30" customFormat="1" ht="12.75" x14ac:dyDescent="0.2">
      <c r="B111" s="43"/>
      <c r="C111" s="43"/>
      <c r="D111" s="43"/>
      <c r="E111" s="43"/>
      <c r="G111" s="42"/>
      <c r="H111" s="42"/>
      <c r="I111" s="42"/>
      <c r="J111" s="42"/>
      <c r="K111" s="42"/>
      <c r="L111" s="42"/>
      <c r="M111" s="42"/>
      <c r="N111" s="42"/>
      <c r="O111" s="42"/>
    </row>
    <row r="112" spans="1:15" s="30" customFormat="1" ht="12.75" x14ac:dyDescent="0.2">
      <c r="A112" s="12"/>
      <c r="C112" s="43"/>
      <c r="D112" s="43"/>
      <c r="E112" s="43"/>
      <c r="G112" s="43"/>
      <c r="H112" s="43"/>
      <c r="I112" s="43"/>
      <c r="J112" s="43"/>
      <c r="K112" s="43"/>
      <c r="L112" s="43"/>
      <c r="M112" s="43"/>
      <c r="N112" s="43"/>
      <c r="O112" s="43"/>
    </row>
    <row r="113" spans="1:16" x14ac:dyDescent="0.25">
      <c r="A113" s="12"/>
      <c r="F113" s="38"/>
      <c r="G113" s="14"/>
      <c r="H113" s="14"/>
      <c r="I113" s="14"/>
      <c r="J113" s="14"/>
      <c r="K113" s="14"/>
      <c r="L113" s="14"/>
      <c r="M113" s="14"/>
      <c r="N113" s="14"/>
      <c r="O113" s="14"/>
      <c r="P113" s="38"/>
    </row>
    <row r="114" spans="1:16" hidden="1" x14ac:dyDescent="0.25">
      <c r="A114" s="12"/>
      <c r="E114" s="12"/>
      <c r="G114" s="14"/>
      <c r="H114" s="14"/>
      <c r="I114" s="14"/>
      <c r="J114" s="14"/>
      <c r="K114" s="14"/>
      <c r="L114" s="14"/>
      <c r="M114" s="14"/>
      <c r="N114" s="14"/>
      <c r="O114" s="14"/>
    </row>
    <row r="115" spans="1:16" hidden="1" x14ac:dyDescent="0.25">
      <c r="A115" s="12"/>
      <c r="G115" s="14"/>
      <c r="H115" s="14"/>
      <c r="I115" s="14"/>
      <c r="J115" s="14"/>
      <c r="K115" s="14"/>
      <c r="L115" s="14"/>
      <c r="M115" s="14"/>
      <c r="N115" s="14"/>
      <c r="O115" s="14"/>
      <c r="P115" s="14"/>
    </row>
    <row r="116" spans="1:16" hidden="1" x14ac:dyDescent="0.25">
      <c r="A116" s="12"/>
      <c r="G116" s="14"/>
      <c r="H116" s="14"/>
      <c r="I116" s="14"/>
      <c r="J116" s="14"/>
      <c r="K116" s="14"/>
      <c r="L116" s="14"/>
      <c r="M116" s="14"/>
      <c r="N116" s="14"/>
      <c r="O116" s="14"/>
      <c r="P116" s="14"/>
    </row>
    <row r="117" spans="1:16" hidden="1" x14ac:dyDescent="0.25">
      <c r="A117" s="12"/>
      <c r="G117" s="14"/>
      <c r="H117" s="14"/>
      <c r="I117" s="14"/>
      <c r="J117" s="14"/>
      <c r="K117" s="14"/>
      <c r="L117" s="14"/>
      <c r="M117" s="14"/>
      <c r="N117" s="14"/>
      <c r="O117" s="14"/>
      <c r="P117" s="14"/>
    </row>
    <row r="118" spans="1:16" hidden="1" x14ac:dyDescent="0.25">
      <c r="A118" s="12"/>
      <c r="B118" s="62"/>
      <c r="G118" s="14"/>
      <c r="H118" s="14"/>
      <c r="I118" s="14"/>
      <c r="J118" s="14"/>
      <c r="K118" s="14"/>
      <c r="L118" s="14"/>
      <c r="M118" s="14"/>
      <c r="N118" s="14"/>
      <c r="O118" s="14"/>
      <c r="P118" s="14"/>
    </row>
    <row r="119" spans="1:16" x14ac:dyDescent="0.25">
      <c r="A119" s="12"/>
      <c r="B119" s="69"/>
      <c r="C119" s="70"/>
      <c r="D119" s="71"/>
      <c r="G119" s="14"/>
      <c r="H119" s="14"/>
      <c r="I119" s="14"/>
      <c r="J119" s="14"/>
      <c r="K119" s="14"/>
      <c r="L119" s="14"/>
      <c r="M119" s="14"/>
      <c r="N119" s="14"/>
      <c r="O119" s="14"/>
      <c r="P119" s="14"/>
    </row>
    <row r="120" spans="1:16" x14ac:dyDescent="0.25">
      <c r="A120" s="12"/>
      <c r="C120" s="70"/>
      <c r="D120" s="71"/>
      <c r="G120" s="14"/>
      <c r="H120" s="14"/>
      <c r="I120" s="14"/>
      <c r="J120" s="14"/>
      <c r="K120" s="14"/>
      <c r="L120" s="14"/>
      <c r="M120" s="14"/>
      <c r="N120" s="14"/>
      <c r="O120" s="14"/>
      <c r="P120" s="14"/>
    </row>
    <row r="121" spans="1:16" x14ac:dyDescent="0.25">
      <c r="A121" s="66"/>
      <c r="G121" s="14"/>
      <c r="H121" s="14"/>
      <c r="I121" s="14"/>
      <c r="J121" s="14"/>
      <c r="K121" s="14"/>
      <c r="L121" s="14"/>
      <c r="M121" s="14"/>
      <c r="N121" s="14"/>
      <c r="O121" s="14"/>
      <c r="P121" s="14"/>
    </row>
    <row r="122" spans="1:16" s="30" customFormat="1" ht="12.75" x14ac:dyDescent="0.2">
      <c r="G122" s="42"/>
      <c r="H122" s="42"/>
      <c r="I122" s="42"/>
      <c r="J122" s="42"/>
      <c r="K122" s="42"/>
      <c r="L122" s="42"/>
      <c r="M122" s="42"/>
      <c r="N122" s="42"/>
      <c r="O122" s="42"/>
    </row>
    <row r="123" spans="1:16" s="30" customFormat="1" ht="12.75" x14ac:dyDescent="0.2">
      <c r="G123" s="42"/>
      <c r="H123" s="42"/>
      <c r="I123" s="42"/>
      <c r="J123" s="42"/>
      <c r="K123" s="42"/>
      <c r="L123" s="42"/>
      <c r="M123" s="42"/>
      <c r="N123" s="42"/>
      <c r="O123" s="42"/>
    </row>
    <row r="124" spans="1:16" s="30" customFormat="1" ht="12.75" x14ac:dyDescent="0.2">
      <c r="G124" s="42"/>
      <c r="H124" s="42"/>
      <c r="I124" s="42"/>
      <c r="J124" s="42"/>
      <c r="K124" s="42"/>
      <c r="L124" s="42"/>
      <c r="M124" s="42"/>
      <c r="N124" s="42"/>
      <c r="O124" s="42"/>
    </row>
    <row r="125" spans="1:16" s="30" customFormat="1" ht="12.75" x14ac:dyDescent="0.2">
      <c r="A125" s="12"/>
      <c r="G125" s="42"/>
      <c r="H125" s="42"/>
      <c r="I125" s="42"/>
      <c r="J125" s="42"/>
      <c r="K125" s="42"/>
      <c r="L125" s="42"/>
      <c r="M125" s="42"/>
      <c r="N125" s="42"/>
      <c r="O125" s="42"/>
    </row>
    <row r="126" spans="1:16" x14ac:dyDescent="0.25">
      <c r="A126" s="12"/>
      <c r="E126" s="14"/>
      <c r="F126" s="38"/>
      <c r="G126" s="14"/>
      <c r="H126" s="14"/>
      <c r="I126" s="14"/>
      <c r="J126" s="14"/>
      <c r="K126" s="14"/>
      <c r="L126" s="14"/>
      <c r="M126" s="14"/>
      <c r="N126" s="14"/>
      <c r="O126" s="14"/>
    </row>
    <row r="127" spans="1:16" x14ac:dyDescent="0.25">
      <c r="A127" s="12"/>
      <c r="F127" s="38"/>
      <c r="G127" s="14"/>
      <c r="H127" s="14"/>
      <c r="I127" s="14"/>
      <c r="J127" s="14"/>
      <c r="K127" s="14"/>
      <c r="L127" s="14"/>
      <c r="M127" s="14"/>
      <c r="N127" s="14"/>
      <c r="O127" s="14"/>
    </row>
    <row r="128" spans="1:16" x14ac:dyDescent="0.25">
      <c r="A128" s="30"/>
      <c r="F128" s="14"/>
      <c r="G128" s="14"/>
      <c r="H128" s="14"/>
      <c r="I128" s="14"/>
      <c r="J128" s="14"/>
      <c r="K128" s="14"/>
      <c r="L128" s="14"/>
      <c r="M128" s="14"/>
      <c r="N128" s="14"/>
      <c r="O128" s="14"/>
    </row>
    <row r="129" spans="1:19" s="30" customFormat="1" x14ac:dyDescent="0.25">
      <c r="A129" s="4"/>
      <c r="G129" s="42"/>
      <c r="H129" s="42"/>
      <c r="I129" s="42"/>
      <c r="J129" s="42"/>
      <c r="K129" s="42"/>
      <c r="L129" s="42"/>
      <c r="M129" s="42"/>
      <c r="N129" s="42"/>
      <c r="O129" s="42"/>
    </row>
    <row r="130" spans="1:19" x14ac:dyDescent="0.25">
      <c r="A130" s="12"/>
      <c r="G130" s="14"/>
      <c r="H130" s="14"/>
      <c r="I130" s="14"/>
      <c r="J130" s="14"/>
      <c r="K130" s="14"/>
      <c r="L130" s="14"/>
      <c r="M130" s="14"/>
      <c r="N130" s="14"/>
      <c r="O130" s="14"/>
    </row>
    <row r="131" spans="1:19" x14ac:dyDescent="0.25">
      <c r="G131" s="14"/>
      <c r="H131" s="14"/>
      <c r="I131" s="14"/>
      <c r="J131" s="14"/>
      <c r="K131" s="14"/>
      <c r="L131" s="14"/>
      <c r="M131" s="14"/>
      <c r="N131" s="14"/>
      <c r="O131" s="14"/>
    </row>
    <row r="132" spans="1:19" x14ac:dyDescent="0.25">
      <c r="E132" s="60"/>
      <c r="G132" s="14"/>
      <c r="H132" s="14"/>
      <c r="I132" s="14"/>
      <c r="J132" s="14"/>
      <c r="K132" s="14"/>
      <c r="L132" s="14"/>
      <c r="M132" s="14"/>
      <c r="N132" s="14"/>
      <c r="O132" s="14"/>
    </row>
    <row r="133" spans="1:19" x14ac:dyDescent="0.25">
      <c r="A133" s="30"/>
      <c r="C133" s="6"/>
      <c r="D133" s="40"/>
      <c r="G133" s="14"/>
      <c r="H133" s="14"/>
      <c r="I133" s="14"/>
      <c r="J133" s="14"/>
      <c r="K133" s="14"/>
      <c r="L133" s="14"/>
      <c r="M133" s="14"/>
      <c r="N133" s="14"/>
      <c r="O133" s="14"/>
    </row>
    <row r="134" spans="1:19" s="30" customFormat="1" ht="12.75" x14ac:dyDescent="0.2">
      <c r="G134" s="42"/>
      <c r="H134" s="42"/>
      <c r="I134" s="42"/>
      <c r="J134" s="42"/>
      <c r="K134" s="42"/>
      <c r="L134" s="42"/>
      <c r="M134" s="42"/>
      <c r="N134" s="42"/>
      <c r="O134" s="42"/>
    </row>
    <row r="135" spans="1:19" s="30" customFormat="1" ht="12.75" x14ac:dyDescent="0.2">
      <c r="G135" s="42"/>
      <c r="H135" s="42"/>
      <c r="I135" s="42"/>
      <c r="J135" s="42"/>
      <c r="K135" s="42"/>
      <c r="L135" s="42"/>
      <c r="M135" s="42"/>
      <c r="N135" s="42"/>
      <c r="O135" s="42"/>
    </row>
    <row r="136" spans="1:19" s="30" customFormat="1" x14ac:dyDescent="0.25">
      <c r="A136" s="4"/>
      <c r="G136" s="42"/>
      <c r="H136" s="42"/>
      <c r="I136" s="42"/>
      <c r="J136" s="42"/>
      <c r="K136" s="42"/>
      <c r="L136" s="42"/>
      <c r="M136" s="42"/>
      <c r="N136" s="42"/>
      <c r="O136" s="42"/>
      <c r="P136" s="43"/>
      <c r="Q136" s="43"/>
      <c r="R136" s="43"/>
      <c r="S136" s="43"/>
    </row>
    <row r="137" spans="1:19" ht="15.75" x14ac:dyDescent="0.25">
      <c r="A137" s="72"/>
      <c r="B137" s="73"/>
      <c r="G137" s="14"/>
      <c r="H137" s="14"/>
      <c r="I137" s="14"/>
      <c r="J137" s="14"/>
      <c r="K137" s="14"/>
      <c r="L137" s="14"/>
      <c r="M137" s="14"/>
      <c r="N137" s="14"/>
      <c r="O137" s="14"/>
    </row>
    <row r="138" spans="1:19" ht="24.95" customHeight="1" x14ac:dyDescent="0.25">
      <c r="C138" s="73"/>
      <c r="D138" s="74"/>
      <c r="E138" s="75"/>
      <c r="F138" s="76"/>
      <c r="G138" s="77"/>
      <c r="H138" s="78"/>
      <c r="I138" s="78"/>
      <c r="J138" s="78"/>
      <c r="K138" s="78"/>
      <c r="L138" s="78"/>
      <c r="M138" s="78"/>
      <c r="N138" s="78"/>
      <c r="O138" s="78"/>
    </row>
    <row r="140" spans="1:19" x14ac:dyDescent="0.25">
      <c r="A140" s="30"/>
    </row>
    <row r="141" spans="1:19" x14ac:dyDescent="0.25">
      <c r="G141" s="42"/>
      <c r="H141" s="42"/>
      <c r="I141" s="42"/>
      <c r="J141" s="42"/>
      <c r="K141" s="42"/>
      <c r="L141" s="42"/>
      <c r="M141" s="42"/>
      <c r="N141" s="42"/>
      <c r="O141" s="42"/>
    </row>
    <row r="142" spans="1:19" ht="15.75" x14ac:dyDescent="0.25">
      <c r="A142" s="72"/>
      <c r="B142" s="72"/>
    </row>
    <row r="143" spans="1:19" ht="24.75" customHeight="1" x14ac:dyDescent="0.25">
      <c r="C143" s="72"/>
      <c r="D143" s="72"/>
      <c r="E143" s="79"/>
      <c r="H143" s="80"/>
    </row>
    <row r="145" spans="1:15" x14ac:dyDescent="0.25">
      <c r="A145" s="30"/>
    </row>
    <row r="146" spans="1:15" x14ac:dyDescent="0.25">
      <c r="H146" s="81"/>
      <c r="I146" s="81"/>
      <c r="J146" s="81"/>
      <c r="K146" s="81"/>
      <c r="L146" s="81"/>
      <c r="M146" s="81"/>
      <c r="N146" s="81"/>
      <c r="O146" s="81"/>
    </row>
    <row r="147" spans="1:15" ht="15.75" x14ac:dyDescent="0.25">
      <c r="A147" s="72"/>
    </row>
    <row r="148" spans="1:15" ht="24.75" customHeight="1" x14ac:dyDescent="0.25">
      <c r="E148" s="82"/>
    </row>
    <row r="150" spans="1:15" x14ac:dyDescent="0.25">
      <c r="A150" s="30"/>
    </row>
    <row r="151" spans="1:15" x14ac:dyDescent="0.25">
      <c r="A151" s="12"/>
      <c r="B151" s="12"/>
    </row>
    <row r="152" spans="1:15" x14ac:dyDescent="0.25">
      <c r="B152" s="4"/>
      <c r="C152" s="12"/>
      <c r="D152" s="12"/>
      <c r="E152" s="12"/>
    </row>
    <row r="153" spans="1:15" x14ac:dyDescent="0.25">
      <c r="B153" s="4"/>
      <c r="C153" s="4"/>
    </row>
    <row r="154" spans="1:15" x14ac:dyDescent="0.25">
      <c r="B154" s="4"/>
      <c r="C154" s="4"/>
    </row>
    <row r="155" spans="1:15" x14ac:dyDescent="0.25">
      <c r="B155" s="4"/>
      <c r="C155" s="4"/>
    </row>
    <row r="156" spans="1:15" x14ac:dyDescent="0.25">
      <c r="B156" s="4"/>
      <c r="C156" s="4"/>
    </row>
    <row r="157" spans="1:15" x14ac:dyDescent="0.25">
      <c r="B157" s="4"/>
      <c r="C157" s="4"/>
    </row>
    <row r="158" spans="1:15" x14ac:dyDescent="0.25">
      <c r="C158" s="4"/>
    </row>
  </sheetData>
  <sheetProtection algorithmName="SHA-512" hashValue="T4odsJmHl3Xe71ZPLCMyor83TSDKhP4Tu5JOQRX8E6HnQv998Mxg3yLybEjCV3lY5uKXHK+xc2KmR37gyrVS1g==" saltValue="/25y5w+nh84q5vqPN+ngLg==" spinCount="100000" sheet="1" objects="1" scenarios="1"/>
  <mergeCells count="18">
    <mergeCell ref="A47:E47"/>
    <mergeCell ref="E13:E15"/>
    <mergeCell ref="B17:C17"/>
    <mergeCell ref="B18:C18"/>
    <mergeCell ref="B19:C19"/>
    <mergeCell ref="B20:C20"/>
    <mergeCell ref="B21:C21"/>
    <mergeCell ref="B23:C23"/>
    <mergeCell ref="A26:E26"/>
    <mergeCell ref="A32:E32"/>
    <mergeCell ref="A37:E37"/>
    <mergeCell ref="A42:E42"/>
    <mergeCell ref="B11:E11"/>
    <mergeCell ref="B4:E4"/>
    <mergeCell ref="B6:E6"/>
    <mergeCell ref="B8:E8"/>
    <mergeCell ref="B9:E9"/>
    <mergeCell ref="B10:E10"/>
  </mergeCells>
  <conditionalFormatting sqref="A32:E32">
    <cfRule type="expression" dxfId="204" priority="1">
      <formula>A29="Niet van toepassing"</formula>
    </cfRule>
  </conditionalFormatting>
  <conditionalFormatting sqref="A37:E37">
    <cfRule type="expression" dxfId="203" priority="2">
      <formula>A35="Niet van toepassing"</formula>
    </cfRule>
  </conditionalFormatting>
  <conditionalFormatting sqref="B18:C18">
    <cfRule type="expression" dxfId="202" priority="6" stopIfTrue="1">
      <formula>$E$18="Productie elektriciteit is niet van toepassing!"</formula>
    </cfRule>
  </conditionalFormatting>
  <conditionalFormatting sqref="B19:C19">
    <cfRule type="expression" dxfId="201" priority="3" stopIfTrue="1">
      <formula>$A$19="Niet van toepassing"</formula>
    </cfRule>
    <cfRule type="expression" dxfId="200" priority="5" stopIfTrue="1">
      <formula>$A$19=""</formula>
    </cfRule>
  </conditionalFormatting>
  <dataValidations disablePrompts="1" count="3">
    <dataValidation type="whole" allowBlank="1" showInputMessage="1" showErrorMessage="1" error="U moet hier 1 of 2 invullen!" sqref="E59 JA59 SW59 ACS59 AMO59 AWK59 BGG59 BQC59 BZY59 CJU59 CTQ59 DDM59 DNI59 DXE59 EHA59 EQW59 FAS59 FKO59 FUK59 GEG59 GOC59 GXY59 HHU59 HRQ59 IBM59 ILI59 IVE59 JFA59 JOW59 JYS59 KIO59 KSK59 LCG59 LMC59 LVY59 MFU59 MPQ59 MZM59 NJI59 NTE59 ODA59 OMW59 OWS59 PGO59 PQK59 QAG59 QKC59 QTY59 RDU59 RNQ59 RXM59 SHI59 SRE59 TBA59 TKW59 TUS59 UEO59 UOK59 UYG59 VIC59 VRY59 WBU59 WLQ59 WVM59 E65595 JA65595 SW65595 ACS65595 AMO65595 AWK65595 BGG65595 BQC65595 BZY65595 CJU65595 CTQ65595 DDM65595 DNI65595 DXE65595 EHA65595 EQW65595 FAS65595 FKO65595 FUK65595 GEG65595 GOC65595 GXY65595 HHU65595 HRQ65595 IBM65595 ILI65595 IVE65595 JFA65595 JOW65595 JYS65595 KIO65595 KSK65595 LCG65595 LMC65595 LVY65595 MFU65595 MPQ65595 MZM65595 NJI65595 NTE65595 ODA65595 OMW65595 OWS65595 PGO65595 PQK65595 QAG65595 QKC65595 QTY65595 RDU65595 RNQ65595 RXM65595 SHI65595 SRE65595 TBA65595 TKW65595 TUS65595 UEO65595 UOK65595 UYG65595 VIC65595 VRY65595 WBU65595 WLQ65595 WVM65595 E131131 JA131131 SW131131 ACS131131 AMO131131 AWK131131 BGG131131 BQC131131 BZY131131 CJU131131 CTQ131131 DDM131131 DNI131131 DXE131131 EHA131131 EQW131131 FAS131131 FKO131131 FUK131131 GEG131131 GOC131131 GXY131131 HHU131131 HRQ131131 IBM131131 ILI131131 IVE131131 JFA131131 JOW131131 JYS131131 KIO131131 KSK131131 LCG131131 LMC131131 LVY131131 MFU131131 MPQ131131 MZM131131 NJI131131 NTE131131 ODA131131 OMW131131 OWS131131 PGO131131 PQK131131 QAG131131 QKC131131 QTY131131 RDU131131 RNQ131131 RXM131131 SHI131131 SRE131131 TBA131131 TKW131131 TUS131131 UEO131131 UOK131131 UYG131131 VIC131131 VRY131131 WBU131131 WLQ131131 WVM131131 E196667 JA196667 SW196667 ACS196667 AMO196667 AWK196667 BGG196667 BQC196667 BZY196667 CJU196667 CTQ196667 DDM196667 DNI196667 DXE196667 EHA196667 EQW196667 FAS196667 FKO196667 FUK196667 GEG196667 GOC196667 GXY196667 HHU196667 HRQ196667 IBM196667 ILI196667 IVE196667 JFA196667 JOW196667 JYS196667 KIO196667 KSK196667 LCG196667 LMC196667 LVY196667 MFU196667 MPQ196667 MZM196667 NJI196667 NTE196667 ODA196667 OMW196667 OWS196667 PGO196667 PQK196667 QAG196667 QKC196667 QTY196667 RDU196667 RNQ196667 RXM196667 SHI196667 SRE196667 TBA196667 TKW196667 TUS196667 UEO196667 UOK196667 UYG196667 VIC196667 VRY196667 WBU196667 WLQ196667 WVM196667 E262203 JA262203 SW262203 ACS262203 AMO262203 AWK262203 BGG262203 BQC262203 BZY262203 CJU262203 CTQ262203 DDM262203 DNI262203 DXE262203 EHA262203 EQW262203 FAS262203 FKO262203 FUK262203 GEG262203 GOC262203 GXY262203 HHU262203 HRQ262203 IBM262203 ILI262203 IVE262203 JFA262203 JOW262203 JYS262203 KIO262203 KSK262203 LCG262203 LMC262203 LVY262203 MFU262203 MPQ262203 MZM262203 NJI262203 NTE262203 ODA262203 OMW262203 OWS262203 PGO262203 PQK262203 QAG262203 QKC262203 QTY262203 RDU262203 RNQ262203 RXM262203 SHI262203 SRE262203 TBA262203 TKW262203 TUS262203 UEO262203 UOK262203 UYG262203 VIC262203 VRY262203 WBU262203 WLQ262203 WVM262203 E327739 JA327739 SW327739 ACS327739 AMO327739 AWK327739 BGG327739 BQC327739 BZY327739 CJU327739 CTQ327739 DDM327739 DNI327739 DXE327739 EHA327739 EQW327739 FAS327739 FKO327739 FUK327739 GEG327739 GOC327739 GXY327739 HHU327739 HRQ327739 IBM327739 ILI327739 IVE327739 JFA327739 JOW327739 JYS327739 KIO327739 KSK327739 LCG327739 LMC327739 LVY327739 MFU327739 MPQ327739 MZM327739 NJI327739 NTE327739 ODA327739 OMW327739 OWS327739 PGO327739 PQK327739 QAG327739 QKC327739 QTY327739 RDU327739 RNQ327739 RXM327739 SHI327739 SRE327739 TBA327739 TKW327739 TUS327739 UEO327739 UOK327739 UYG327739 VIC327739 VRY327739 WBU327739 WLQ327739 WVM327739 E393275 JA393275 SW393275 ACS393275 AMO393275 AWK393275 BGG393275 BQC393275 BZY393275 CJU393275 CTQ393275 DDM393275 DNI393275 DXE393275 EHA393275 EQW393275 FAS393275 FKO393275 FUK393275 GEG393275 GOC393275 GXY393275 HHU393275 HRQ393275 IBM393275 ILI393275 IVE393275 JFA393275 JOW393275 JYS393275 KIO393275 KSK393275 LCG393275 LMC393275 LVY393275 MFU393275 MPQ393275 MZM393275 NJI393275 NTE393275 ODA393275 OMW393275 OWS393275 PGO393275 PQK393275 QAG393275 QKC393275 QTY393275 RDU393275 RNQ393275 RXM393275 SHI393275 SRE393275 TBA393275 TKW393275 TUS393275 UEO393275 UOK393275 UYG393275 VIC393275 VRY393275 WBU393275 WLQ393275 WVM393275 E458811 JA458811 SW458811 ACS458811 AMO458811 AWK458811 BGG458811 BQC458811 BZY458811 CJU458811 CTQ458811 DDM458811 DNI458811 DXE458811 EHA458811 EQW458811 FAS458811 FKO458811 FUK458811 GEG458811 GOC458811 GXY458811 HHU458811 HRQ458811 IBM458811 ILI458811 IVE458811 JFA458811 JOW458811 JYS458811 KIO458811 KSK458811 LCG458811 LMC458811 LVY458811 MFU458811 MPQ458811 MZM458811 NJI458811 NTE458811 ODA458811 OMW458811 OWS458811 PGO458811 PQK458811 QAG458811 QKC458811 QTY458811 RDU458811 RNQ458811 RXM458811 SHI458811 SRE458811 TBA458811 TKW458811 TUS458811 UEO458811 UOK458811 UYG458811 VIC458811 VRY458811 WBU458811 WLQ458811 WVM458811 E524347 JA524347 SW524347 ACS524347 AMO524347 AWK524347 BGG524347 BQC524347 BZY524347 CJU524347 CTQ524347 DDM524347 DNI524347 DXE524347 EHA524347 EQW524347 FAS524347 FKO524347 FUK524347 GEG524347 GOC524347 GXY524347 HHU524347 HRQ524347 IBM524347 ILI524347 IVE524347 JFA524347 JOW524347 JYS524347 KIO524347 KSK524347 LCG524347 LMC524347 LVY524347 MFU524347 MPQ524347 MZM524347 NJI524347 NTE524347 ODA524347 OMW524347 OWS524347 PGO524347 PQK524347 QAG524347 QKC524347 QTY524347 RDU524347 RNQ524347 RXM524347 SHI524347 SRE524347 TBA524347 TKW524347 TUS524347 UEO524347 UOK524347 UYG524347 VIC524347 VRY524347 WBU524347 WLQ524347 WVM524347 E589883 JA589883 SW589883 ACS589883 AMO589883 AWK589883 BGG589883 BQC589883 BZY589883 CJU589883 CTQ589883 DDM589883 DNI589883 DXE589883 EHA589883 EQW589883 FAS589883 FKO589883 FUK589883 GEG589883 GOC589883 GXY589883 HHU589883 HRQ589883 IBM589883 ILI589883 IVE589883 JFA589883 JOW589883 JYS589883 KIO589883 KSK589883 LCG589883 LMC589883 LVY589883 MFU589883 MPQ589883 MZM589883 NJI589883 NTE589883 ODA589883 OMW589883 OWS589883 PGO589883 PQK589883 QAG589883 QKC589883 QTY589883 RDU589883 RNQ589883 RXM589883 SHI589883 SRE589883 TBA589883 TKW589883 TUS589883 UEO589883 UOK589883 UYG589883 VIC589883 VRY589883 WBU589883 WLQ589883 WVM589883 E655419 JA655419 SW655419 ACS655419 AMO655419 AWK655419 BGG655419 BQC655419 BZY655419 CJU655419 CTQ655419 DDM655419 DNI655419 DXE655419 EHA655419 EQW655419 FAS655419 FKO655419 FUK655419 GEG655419 GOC655419 GXY655419 HHU655419 HRQ655419 IBM655419 ILI655419 IVE655419 JFA655419 JOW655419 JYS655419 KIO655419 KSK655419 LCG655419 LMC655419 LVY655419 MFU655419 MPQ655419 MZM655419 NJI655419 NTE655419 ODA655419 OMW655419 OWS655419 PGO655419 PQK655419 QAG655419 QKC655419 QTY655419 RDU655419 RNQ655419 RXM655419 SHI655419 SRE655419 TBA655419 TKW655419 TUS655419 UEO655419 UOK655419 UYG655419 VIC655419 VRY655419 WBU655419 WLQ655419 WVM655419 E720955 JA720955 SW720955 ACS720955 AMO720955 AWK720955 BGG720955 BQC720955 BZY720955 CJU720955 CTQ720955 DDM720955 DNI720955 DXE720955 EHA720955 EQW720955 FAS720955 FKO720955 FUK720955 GEG720955 GOC720955 GXY720955 HHU720955 HRQ720955 IBM720955 ILI720955 IVE720955 JFA720955 JOW720955 JYS720955 KIO720955 KSK720955 LCG720955 LMC720955 LVY720955 MFU720955 MPQ720955 MZM720955 NJI720955 NTE720955 ODA720955 OMW720955 OWS720955 PGO720955 PQK720955 QAG720955 QKC720955 QTY720955 RDU720955 RNQ720955 RXM720955 SHI720955 SRE720955 TBA720955 TKW720955 TUS720955 UEO720955 UOK720955 UYG720955 VIC720955 VRY720955 WBU720955 WLQ720955 WVM720955 E786491 JA786491 SW786491 ACS786491 AMO786491 AWK786491 BGG786491 BQC786491 BZY786491 CJU786491 CTQ786491 DDM786491 DNI786491 DXE786491 EHA786491 EQW786491 FAS786491 FKO786491 FUK786491 GEG786491 GOC786491 GXY786491 HHU786491 HRQ786491 IBM786491 ILI786491 IVE786491 JFA786491 JOW786491 JYS786491 KIO786491 KSK786491 LCG786491 LMC786491 LVY786491 MFU786491 MPQ786491 MZM786491 NJI786491 NTE786491 ODA786491 OMW786491 OWS786491 PGO786491 PQK786491 QAG786491 QKC786491 QTY786491 RDU786491 RNQ786491 RXM786491 SHI786491 SRE786491 TBA786491 TKW786491 TUS786491 UEO786491 UOK786491 UYG786491 VIC786491 VRY786491 WBU786491 WLQ786491 WVM786491 E852027 JA852027 SW852027 ACS852027 AMO852027 AWK852027 BGG852027 BQC852027 BZY852027 CJU852027 CTQ852027 DDM852027 DNI852027 DXE852027 EHA852027 EQW852027 FAS852027 FKO852027 FUK852027 GEG852027 GOC852027 GXY852027 HHU852027 HRQ852027 IBM852027 ILI852027 IVE852027 JFA852027 JOW852027 JYS852027 KIO852027 KSK852027 LCG852027 LMC852027 LVY852027 MFU852027 MPQ852027 MZM852027 NJI852027 NTE852027 ODA852027 OMW852027 OWS852027 PGO852027 PQK852027 QAG852027 QKC852027 QTY852027 RDU852027 RNQ852027 RXM852027 SHI852027 SRE852027 TBA852027 TKW852027 TUS852027 UEO852027 UOK852027 UYG852027 VIC852027 VRY852027 WBU852027 WLQ852027 WVM852027 E917563 JA917563 SW917563 ACS917563 AMO917563 AWK917563 BGG917563 BQC917563 BZY917563 CJU917563 CTQ917563 DDM917563 DNI917563 DXE917563 EHA917563 EQW917563 FAS917563 FKO917563 FUK917563 GEG917563 GOC917563 GXY917563 HHU917563 HRQ917563 IBM917563 ILI917563 IVE917563 JFA917563 JOW917563 JYS917563 KIO917563 KSK917563 LCG917563 LMC917563 LVY917563 MFU917563 MPQ917563 MZM917563 NJI917563 NTE917563 ODA917563 OMW917563 OWS917563 PGO917563 PQK917563 QAG917563 QKC917563 QTY917563 RDU917563 RNQ917563 RXM917563 SHI917563 SRE917563 TBA917563 TKW917563 TUS917563 UEO917563 UOK917563 UYG917563 VIC917563 VRY917563 WBU917563 WLQ917563 WVM917563 E983099 JA983099 SW983099 ACS983099 AMO983099 AWK983099 BGG983099 BQC983099 BZY983099 CJU983099 CTQ983099 DDM983099 DNI983099 DXE983099 EHA983099 EQW983099 FAS983099 FKO983099 FUK983099 GEG983099 GOC983099 GXY983099 HHU983099 HRQ983099 IBM983099 ILI983099 IVE983099 JFA983099 JOW983099 JYS983099 KIO983099 KSK983099 LCG983099 LMC983099 LVY983099 MFU983099 MPQ983099 MZM983099 NJI983099 NTE983099 ODA983099 OMW983099 OWS983099 PGO983099 PQK983099 QAG983099 QKC983099 QTY983099 RDU983099 RNQ983099 RXM983099 SHI983099 SRE983099 TBA983099 TKW983099 TUS983099 UEO983099 UOK983099 UYG983099 VIC983099 VRY983099 WBU983099 WLQ983099 WVM983099" xr:uid="{40E5E316-F880-4BA6-97A6-96DF4D8C2F2E}">
      <formula1>1</formula1>
      <formula2>2</formula2>
    </dataValidation>
    <dataValidation type="whole" allowBlank="1" showInputMessage="1" showErrorMessage="1" error="U moet hier een geheel aantal jaren met een maximum van 8 jaar invullen." sqref="E58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E65594 JA65594 SW65594 ACS65594 AMO65594 AWK65594 BGG65594 BQC65594 BZY65594 CJU65594 CTQ65594 DDM65594 DNI65594 DXE65594 EHA65594 EQW65594 FAS65594 FKO65594 FUK65594 GEG65594 GOC65594 GXY65594 HHU65594 HRQ65594 IBM65594 ILI65594 IVE65594 JFA65594 JOW65594 JYS65594 KIO65594 KSK65594 LCG65594 LMC65594 LVY65594 MFU65594 MPQ65594 MZM65594 NJI65594 NTE65594 ODA65594 OMW65594 OWS65594 PGO65594 PQK65594 QAG65594 QKC65594 QTY65594 RDU65594 RNQ65594 RXM65594 SHI65594 SRE65594 TBA65594 TKW65594 TUS65594 UEO65594 UOK65594 UYG65594 VIC65594 VRY65594 WBU65594 WLQ65594 WVM65594 E131130 JA131130 SW131130 ACS131130 AMO131130 AWK131130 BGG131130 BQC131130 BZY131130 CJU131130 CTQ131130 DDM131130 DNI131130 DXE131130 EHA131130 EQW131130 FAS131130 FKO131130 FUK131130 GEG131130 GOC131130 GXY131130 HHU131130 HRQ131130 IBM131130 ILI131130 IVE131130 JFA131130 JOW131130 JYS131130 KIO131130 KSK131130 LCG131130 LMC131130 LVY131130 MFU131130 MPQ131130 MZM131130 NJI131130 NTE131130 ODA131130 OMW131130 OWS131130 PGO131130 PQK131130 QAG131130 QKC131130 QTY131130 RDU131130 RNQ131130 RXM131130 SHI131130 SRE131130 TBA131130 TKW131130 TUS131130 UEO131130 UOK131130 UYG131130 VIC131130 VRY131130 WBU131130 WLQ131130 WVM131130 E196666 JA196666 SW196666 ACS196666 AMO196666 AWK196666 BGG196666 BQC196666 BZY196666 CJU196666 CTQ196666 DDM196666 DNI196666 DXE196666 EHA196666 EQW196666 FAS196666 FKO196666 FUK196666 GEG196666 GOC196666 GXY196666 HHU196666 HRQ196666 IBM196666 ILI196666 IVE196666 JFA196666 JOW196666 JYS196666 KIO196666 KSK196666 LCG196666 LMC196666 LVY196666 MFU196666 MPQ196666 MZM196666 NJI196666 NTE196666 ODA196666 OMW196666 OWS196666 PGO196666 PQK196666 QAG196666 QKC196666 QTY196666 RDU196666 RNQ196666 RXM196666 SHI196666 SRE196666 TBA196666 TKW196666 TUS196666 UEO196666 UOK196666 UYG196666 VIC196666 VRY196666 WBU196666 WLQ196666 WVM196666 E262202 JA262202 SW262202 ACS262202 AMO262202 AWK262202 BGG262202 BQC262202 BZY262202 CJU262202 CTQ262202 DDM262202 DNI262202 DXE262202 EHA262202 EQW262202 FAS262202 FKO262202 FUK262202 GEG262202 GOC262202 GXY262202 HHU262202 HRQ262202 IBM262202 ILI262202 IVE262202 JFA262202 JOW262202 JYS262202 KIO262202 KSK262202 LCG262202 LMC262202 LVY262202 MFU262202 MPQ262202 MZM262202 NJI262202 NTE262202 ODA262202 OMW262202 OWS262202 PGO262202 PQK262202 QAG262202 QKC262202 QTY262202 RDU262202 RNQ262202 RXM262202 SHI262202 SRE262202 TBA262202 TKW262202 TUS262202 UEO262202 UOK262202 UYG262202 VIC262202 VRY262202 WBU262202 WLQ262202 WVM262202 E327738 JA327738 SW327738 ACS327738 AMO327738 AWK327738 BGG327738 BQC327738 BZY327738 CJU327738 CTQ327738 DDM327738 DNI327738 DXE327738 EHA327738 EQW327738 FAS327738 FKO327738 FUK327738 GEG327738 GOC327738 GXY327738 HHU327738 HRQ327738 IBM327738 ILI327738 IVE327738 JFA327738 JOW327738 JYS327738 KIO327738 KSK327738 LCG327738 LMC327738 LVY327738 MFU327738 MPQ327738 MZM327738 NJI327738 NTE327738 ODA327738 OMW327738 OWS327738 PGO327738 PQK327738 QAG327738 QKC327738 QTY327738 RDU327738 RNQ327738 RXM327738 SHI327738 SRE327738 TBA327738 TKW327738 TUS327738 UEO327738 UOK327738 UYG327738 VIC327738 VRY327738 WBU327738 WLQ327738 WVM327738 E393274 JA393274 SW393274 ACS393274 AMO393274 AWK393274 BGG393274 BQC393274 BZY393274 CJU393274 CTQ393274 DDM393274 DNI393274 DXE393274 EHA393274 EQW393274 FAS393274 FKO393274 FUK393274 GEG393274 GOC393274 GXY393274 HHU393274 HRQ393274 IBM393274 ILI393274 IVE393274 JFA393274 JOW393274 JYS393274 KIO393274 KSK393274 LCG393274 LMC393274 LVY393274 MFU393274 MPQ393274 MZM393274 NJI393274 NTE393274 ODA393274 OMW393274 OWS393274 PGO393274 PQK393274 QAG393274 QKC393274 QTY393274 RDU393274 RNQ393274 RXM393274 SHI393274 SRE393274 TBA393274 TKW393274 TUS393274 UEO393274 UOK393274 UYG393274 VIC393274 VRY393274 WBU393274 WLQ393274 WVM393274 E458810 JA458810 SW458810 ACS458810 AMO458810 AWK458810 BGG458810 BQC458810 BZY458810 CJU458810 CTQ458810 DDM458810 DNI458810 DXE458810 EHA458810 EQW458810 FAS458810 FKO458810 FUK458810 GEG458810 GOC458810 GXY458810 HHU458810 HRQ458810 IBM458810 ILI458810 IVE458810 JFA458810 JOW458810 JYS458810 KIO458810 KSK458810 LCG458810 LMC458810 LVY458810 MFU458810 MPQ458810 MZM458810 NJI458810 NTE458810 ODA458810 OMW458810 OWS458810 PGO458810 PQK458810 QAG458810 QKC458810 QTY458810 RDU458810 RNQ458810 RXM458810 SHI458810 SRE458810 TBA458810 TKW458810 TUS458810 UEO458810 UOK458810 UYG458810 VIC458810 VRY458810 WBU458810 WLQ458810 WVM458810 E524346 JA524346 SW524346 ACS524346 AMO524346 AWK524346 BGG524346 BQC524346 BZY524346 CJU524346 CTQ524346 DDM524346 DNI524346 DXE524346 EHA524346 EQW524346 FAS524346 FKO524346 FUK524346 GEG524346 GOC524346 GXY524346 HHU524346 HRQ524346 IBM524346 ILI524346 IVE524346 JFA524346 JOW524346 JYS524346 KIO524346 KSK524346 LCG524346 LMC524346 LVY524346 MFU524346 MPQ524346 MZM524346 NJI524346 NTE524346 ODA524346 OMW524346 OWS524346 PGO524346 PQK524346 QAG524346 QKC524346 QTY524346 RDU524346 RNQ524346 RXM524346 SHI524346 SRE524346 TBA524346 TKW524346 TUS524346 UEO524346 UOK524346 UYG524346 VIC524346 VRY524346 WBU524346 WLQ524346 WVM524346 E589882 JA589882 SW589882 ACS589882 AMO589882 AWK589882 BGG589882 BQC589882 BZY589882 CJU589882 CTQ589882 DDM589882 DNI589882 DXE589882 EHA589882 EQW589882 FAS589882 FKO589882 FUK589882 GEG589882 GOC589882 GXY589882 HHU589882 HRQ589882 IBM589882 ILI589882 IVE589882 JFA589882 JOW589882 JYS589882 KIO589882 KSK589882 LCG589882 LMC589882 LVY589882 MFU589882 MPQ589882 MZM589882 NJI589882 NTE589882 ODA589882 OMW589882 OWS589882 PGO589882 PQK589882 QAG589882 QKC589882 QTY589882 RDU589882 RNQ589882 RXM589882 SHI589882 SRE589882 TBA589882 TKW589882 TUS589882 UEO589882 UOK589882 UYG589882 VIC589882 VRY589882 WBU589882 WLQ589882 WVM589882 E655418 JA655418 SW655418 ACS655418 AMO655418 AWK655418 BGG655418 BQC655418 BZY655418 CJU655418 CTQ655418 DDM655418 DNI655418 DXE655418 EHA655418 EQW655418 FAS655418 FKO655418 FUK655418 GEG655418 GOC655418 GXY655418 HHU655418 HRQ655418 IBM655418 ILI655418 IVE655418 JFA655418 JOW655418 JYS655418 KIO655418 KSK655418 LCG655418 LMC655418 LVY655418 MFU655418 MPQ655418 MZM655418 NJI655418 NTE655418 ODA655418 OMW655418 OWS655418 PGO655418 PQK655418 QAG655418 QKC655418 QTY655418 RDU655418 RNQ655418 RXM655418 SHI655418 SRE655418 TBA655418 TKW655418 TUS655418 UEO655418 UOK655418 UYG655418 VIC655418 VRY655418 WBU655418 WLQ655418 WVM655418 E720954 JA720954 SW720954 ACS720954 AMO720954 AWK720954 BGG720954 BQC720954 BZY720954 CJU720954 CTQ720954 DDM720954 DNI720954 DXE720954 EHA720954 EQW720954 FAS720954 FKO720954 FUK720954 GEG720954 GOC720954 GXY720954 HHU720954 HRQ720954 IBM720954 ILI720954 IVE720954 JFA720954 JOW720954 JYS720954 KIO720954 KSK720954 LCG720954 LMC720954 LVY720954 MFU720954 MPQ720954 MZM720954 NJI720954 NTE720954 ODA720954 OMW720954 OWS720954 PGO720954 PQK720954 QAG720954 QKC720954 QTY720954 RDU720954 RNQ720954 RXM720954 SHI720954 SRE720954 TBA720954 TKW720954 TUS720954 UEO720954 UOK720954 UYG720954 VIC720954 VRY720954 WBU720954 WLQ720954 WVM720954 E786490 JA786490 SW786490 ACS786490 AMO786490 AWK786490 BGG786490 BQC786490 BZY786490 CJU786490 CTQ786490 DDM786490 DNI786490 DXE786490 EHA786490 EQW786490 FAS786490 FKO786490 FUK786490 GEG786490 GOC786490 GXY786490 HHU786490 HRQ786490 IBM786490 ILI786490 IVE786490 JFA786490 JOW786490 JYS786490 KIO786490 KSK786490 LCG786490 LMC786490 LVY786490 MFU786490 MPQ786490 MZM786490 NJI786490 NTE786490 ODA786490 OMW786490 OWS786490 PGO786490 PQK786490 QAG786490 QKC786490 QTY786490 RDU786490 RNQ786490 RXM786490 SHI786490 SRE786490 TBA786490 TKW786490 TUS786490 UEO786490 UOK786490 UYG786490 VIC786490 VRY786490 WBU786490 WLQ786490 WVM786490 E852026 JA852026 SW852026 ACS852026 AMO852026 AWK852026 BGG852026 BQC852026 BZY852026 CJU852026 CTQ852026 DDM852026 DNI852026 DXE852026 EHA852026 EQW852026 FAS852026 FKO852026 FUK852026 GEG852026 GOC852026 GXY852026 HHU852026 HRQ852026 IBM852026 ILI852026 IVE852026 JFA852026 JOW852026 JYS852026 KIO852026 KSK852026 LCG852026 LMC852026 LVY852026 MFU852026 MPQ852026 MZM852026 NJI852026 NTE852026 ODA852026 OMW852026 OWS852026 PGO852026 PQK852026 QAG852026 QKC852026 QTY852026 RDU852026 RNQ852026 RXM852026 SHI852026 SRE852026 TBA852026 TKW852026 TUS852026 UEO852026 UOK852026 UYG852026 VIC852026 VRY852026 WBU852026 WLQ852026 WVM852026 E917562 JA917562 SW917562 ACS917562 AMO917562 AWK917562 BGG917562 BQC917562 BZY917562 CJU917562 CTQ917562 DDM917562 DNI917562 DXE917562 EHA917562 EQW917562 FAS917562 FKO917562 FUK917562 GEG917562 GOC917562 GXY917562 HHU917562 HRQ917562 IBM917562 ILI917562 IVE917562 JFA917562 JOW917562 JYS917562 KIO917562 KSK917562 LCG917562 LMC917562 LVY917562 MFU917562 MPQ917562 MZM917562 NJI917562 NTE917562 ODA917562 OMW917562 OWS917562 PGO917562 PQK917562 QAG917562 QKC917562 QTY917562 RDU917562 RNQ917562 RXM917562 SHI917562 SRE917562 TBA917562 TKW917562 TUS917562 UEO917562 UOK917562 UYG917562 VIC917562 VRY917562 WBU917562 WLQ917562 WVM917562 E983098 JA983098 SW983098 ACS983098 AMO983098 AWK983098 BGG983098 BQC983098 BZY983098 CJU983098 CTQ983098 DDM983098 DNI983098 DXE983098 EHA983098 EQW983098 FAS983098 FKO983098 FUK983098 GEG983098 GOC983098 GXY983098 HHU983098 HRQ983098 IBM983098 ILI983098 IVE983098 JFA983098 JOW983098 JYS983098 KIO983098 KSK983098 LCG983098 LMC983098 LVY983098 MFU983098 MPQ983098 MZM983098 NJI983098 NTE983098 ODA983098 OMW983098 OWS983098 PGO983098 PQK983098 QAG983098 QKC983098 QTY983098 RDU983098 RNQ983098 RXM983098 SHI983098 SRE983098 TBA983098 TKW983098 TUS983098 UEO983098 UOK983098 UYG983098 VIC983098 VRY983098 WBU983098 WLQ983098 WVM983098" xr:uid="{3D4B2A6B-E492-432A-A2CE-58FD1E3662B8}">
      <formula1>0</formula1>
      <formula2>8</formula2>
    </dataValidation>
    <dataValidation type="decimal" allowBlank="1" showInputMessage="1" showErrorMessage="1" error="U kunt maximaal een percentage van 3,0% invullen. Klik op &quot;Annuleren&quot; en vul een ander percentage in. " sqref="E72 JA72 SW72 ACS72 AMO72 AWK72 BGG72 BQC72 BZY72 CJU72 CTQ72 DDM72 DNI72 DXE72 EHA72 EQW72 FAS72 FKO72 FUK72 GEG72 GOC72 GXY72 HHU72 HRQ72 IBM72 ILI72 IVE72 JFA72 JOW72 JYS72 KIO72 KSK72 LCG72 LMC72 LVY72 MFU72 MPQ72 MZM72 NJI72 NTE72 ODA72 OMW72 OWS72 PGO72 PQK72 QAG72 QKC72 QTY72 RDU72 RNQ72 RXM72 SHI72 SRE72 TBA72 TKW72 TUS72 UEO72 UOK72 UYG72 VIC72 VRY72 WBU72 WLQ72 WVM72 E65608 JA65608 SW65608 ACS65608 AMO65608 AWK65608 BGG65608 BQC65608 BZY65608 CJU65608 CTQ65608 DDM65608 DNI65608 DXE65608 EHA65608 EQW65608 FAS65608 FKO65608 FUK65608 GEG65608 GOC65608 GXY65608 HHU65608 HRQ65608 IBM65608 ILI65608 IVE65608 JFA65608 JOW65608 JYS65608 KIO65608 KSK65608 LCG65608 LMC65608 LVY65608 MFU65608 MPQ65608 MZM65608 NJI65608 NTE65608 ODA65608 OMW65608 OWS65608 PGO65608 PQK65608 QAG65608 QKC65608 QTY65608 RDU65608 RNQ65608 RXM65608 SHI65608 SRE65608 TBA65608 TKW65608 TUS65608 UEO65608 UOK65608 UYG65608 VIC65608 VRY65608 WBU65608 WLQ65608 WVM65608 E131144 JA131144 SW131144 ACS131144 AMO131144 AWK131144 BGG131144 BQC131144 BZY131144 CJU131144 CTQ131144 DDM131144 DNI131144 DXE131144 EHA131144 EQW131144 FAS131144 FKO131144 FUK131144 GEG131144 GOC131144 GXY131144 HHU131144 HRQ131144 IBM131144 ILI131144 IVE131144 JFA131144 JOW131144 JYS131144 KIO131144 KSK131144 LCG131144 LMC131144 LVY131144 MFU131144 MPQ131144 MZM131144 NJI131144 NTE131144 ODA131144 OMW131144 OWS131144 PGO131144 PQK131144 QAG131144 QKC131144 QTY131144 RDU131144 RNQ131144 RXM131144 SHI131144 SRE131144 TBA131144 TKW131144 TUS131144 UEO131144 UOK131144 UYG131144 VIC131144 VRY131144 WBU131144 WLQ131144 WVM131144 E196680 JA196680 SW196680 ACS196680 AMO196680 AWK196680 BGG196680 BQC196680 BZY196680 CJU196680 CTQ196680 DDM196680 DNI196680 DXE196680 EHA196680 EQW196680 FAS196680 FKO196680 FUK196680 GEG196680 GOC196680 GXY196680 HHU196680 HRQ196680 IBM196680 ILI196680 IVE196680 JFA196680 JOW196680 JYS196680 KIO196680 KSK196680 LCG196680 LMC196680 LVY196680 MFU196680 MPQ196680 MZM196680 NJI196680 NTE196680 ODA196680 OMW196680 OWS196680 PGO196680 PQK196680 QAG196680 QKC196680 QTY196680 RDU196680 RNQ196680 RXM196680 SHI196680 SRE196680 TBA196680 TKW196680 TUS196680 UEO196680 UOK196680 UYG196680 VIC196680 VRY196680 WBU196680 WLQ196680 WVM196680 E262216 JA262216 SW262216 ACS262216 AMO262216 AWK262216 BGG262216 BQC262216 BZY262216 CJU262216 CTQ262216 DDM262216 DNI262216 DXE262216 EHA262216 EQW262216 FAS262216 FKO262216 FUK262216 GEG262216 GOC262216 GXY262216 HHU262216 HRQ262216 IBM262216 ILI262216 IVE262216 JFA262216 JOW262216 JYS262216 KIO262216 KSK262216 LCG262216 LMC262216 LVY262216 MFU262216 MPQ262216 MZM262216 NJI262216 NTE262216 ODA262216 OMW262216 OWS262216 PGO262216 PQK262216 QAG262216 QKC262216 QTY262216 RDU262216 RNQ262216 RXM262216 SHI262216 SRE262216 TBA262216 TKW262216 TUS262216 UEO262216 UOK262216 UYG262216 VIC262216 VRY262216 WBU262216 WLQ262216 WVM262216 E327752 JA327752 SW327752 ACS327752 AMO327752 AWK327752 BGG327752 BQC327752 BZY327752 CJU327752 CTQ327752 DDM327752 DNI327752 DXE327752 EHA327752 EQW327752 FAS327752 FKO327752 FUK327752 GEG327752 GOC327752 GXY327752 HHU327752 HRQ327752 IBM327752 ILI327752 IVE327752 JFA327752 JOW327752 JYS327752 KIO327752 KSK327752 LCG327752 LMC327752 LVY327752 MFU327752 MPQ327752 MZM327752 NJI327752 NTE327752 ODA327752 OMW327752 OWS327752 PGO327752 PQK327752 QAG327752 QKC327752 QTY327752 RDU327752 RNQ327752 RXM327752 SHI327752 SRE327752 TBA327752 TKW327752 TUS327752 UEO327752 UOK327752 UYG327752 VIC327752 VRY327752 WBU327752 WLQ327752 WVM327752 E393288 JA393288 SW393288 ACS393288 AMO393288 AWK393288 BGG393288 BQC393288 BZY393288 CJU393288 CTQ393288 DDM393288 DNI393288 DXE393288 EHA393288 EQW393288 FAS393288 FKO393288 FUK393288 GEG393288 GOC393288 GXY393288 HHU393288 HRQ393288 IBM393288 ILI393288 IVE393288 JFA393288 JOW393288 JYS393288 KIO393288 KSK393288 LCG393288 LMC393288 LVY393288 MFU393288 MPQ393288 MZM393288 NJI393288 NTE393288 ODA393288 OMW393288 OWS393288 PGO393288 PQK393288 QAG393288 QKC393288 QTY393288 RDU393288 RNQ393288 RXM393288 SHI393288 SRE393288 TBA393288 TKW393288 TUS393288 UEO393288 UOK393288 UYG393288 VIC393288 VRY393288 WBU393288 WLQ393288 WVM393288 E458824 JA458824 SW458824 ACS458824 AMO458824 AWK458824 BGG458824 BQC458824 BZY458824 CJU458824 CTQ458824 DDM458824 DNI458824 DXE458824 EHA458824 EQW458824 FAS458824 FKO458824 FUK458824 GEG458824 GOC458824 GXY458824 HHU458824 HRQ458824 IBM458824 ILI458824 IVE458824 JFA458824 JOW458824 JYS458824 KIO458824 KSK458824 LCG458824 LMC458824 LVY458824 MFU458824 MPQ458824 MZM458824 NJI458824 NTE458824 ODA458824 OMW458824 OWS458824 PGO458824 PQK458824 QAG458824 QKC458824 QTY458824 RDU458824 RNQ458824 RXM458824 SHI458824 SRE458824 TBA458824 TKW458824 TUS458824 UEO458824 UOK458824 UYG458824 VIC458824 VRY458824 WBU458824 WLQ458824 WVM458824 E524360 JA524360 SW524360 ACS524360 AMO524360 AWK524360 BGG524360 BQC524360 BZY524360 CJU524360 CTQ524360 DDM524360 DNI524360 DXE524360 EHA524360 EQW524360 FAS524360 FKO524360 FUK524360 GEG524360 GOC524360 GXY524360 HHU524360 HRQ524360 IBM524360 ILI524360 IVE524360 JFA524360 JOW524360 JYS524360 KIO524360 KSK524360 LCG524360 LMC524360 LVY524360 MFU524360 MPQ524360 MZM524360 NJI524360 NTE524360 ODA524360 OMW524360 OWS524360 PGO524360 PQK524360 QAG524360 QKC524360 QTY524360 RDU524360 RNQ524360 RXM524360 SHI524360 SRE524360 TBA524360 TKW524360 TUS524360 UEO524360 UOK524360 UYG524360 VIC524360 VRY524360 WBU524360 WLQ524360 WVM524360 E589896 JA589896 SW589896 ACS589896 AMO589896 AWK589896 BGG589896 BQC589896 BZY589896 CJU589896 CTQ589896 DDM589896 DNI589896 DXE589896 EHA589896 EQW589896 FAS589896 FKO589896 FUK589896 GEG589896 GOC589896 GXY589896 HHU589896 HRQ589896 IBM589896 ILI589896 IVE589896 JFA589896 JOW589896 JYS589896 KIO589896 KSK589896 LCG589896 LMC589896 LVY589896 MFU589896 MPQ589896 MZM589896 NJI589896 NTE589896 ODA589896 OMW589896 OWS589896 PGO589896 PQK589896 QAG589896 QKC589896 QTY589896 RDU589896 RNQ589896 RXM589896 SHI589896 SRE589896 TBA589896 TKW589896 TUS589896 UEO589896 UOK589896 UYG589896 VIC589896 VRY589896 WBU589896 WLQ589896 WVM589896 E655432 JA655432 SW655432 ACS655432 AMO655432 AWK655432 BGG655432 BQC655432 BZY655432 CJU655432 CTQ655432 DDM655432 DNI655432 DXE655432 EHA655432 EQW655432 FAS655432 FKO655432 FUK655432 GEG655432 GOC655432 GXY655432 HHU655432 HRQ655432 IBM655432 ILI655432 IVE655432 JFA655432 JOW655432 JYS655432 KIO655432 KSK655432 LCG655432 LMC655432 LVY655432 MFU655432 MPQ655432 MZM655432 NJI655432 NTE655432 ODA655432 OMW655432 OWS655432 PGO655432 PQK655432 QAG655432 QKC655432 QTY655432 RDU655432 RNQ655432 RXM655432 SHI655432 SRE655432 TBA655432 TKW655432 TUS655432 UEO655432 UOK655432 UYG655432 VIC655432 VRY655432 WBU655432 WLQ655432 WVM655432 E720968 JA720968 SW720968 ACS720968 AMO720968 AWK720968 BGG720968 BQC720968 BZY720968 CJU720968 CTQ720968 DDM720968 DNI720968 DXE720968 EHA720968 EQW720968 FAS720968 FKO720968 FUK720968 GEG720968 GOC720968 GXY720968 HHU720968 HRQ720968 IBM720968 ILI720968 IVE720968 JFA720968 JOW720968 JYS720968 KIO720968 KSK720968 LCG720968 LMC720968 LVY720968 MFU720968 MPQ720968 MZM720968 NJI720968 NTE720968 ODA720968 OMW720968 OWS720968 PGO720968 PQK720968 QAG720968 QKC720968 QTY720968 RDU720968 RNQ720968 RXM720968 SHI720968 SRE720968 TBA720968 TKW720968 TUS720968 UEO720968 UOK720968 UYG720968 VIC720968 VRY720968 WBU720968 WLQ720968 WVM720968 E786504 JA786504 SW786504 ACS786504 AMO786504 AWK786504 BGG786504 BQC786504 BZY786504 CJU786504 CTQ786504 DDM786504 DNI786504 DXE786504 EHA786504 EQW786504 FAS786504 FKO786504 FUK786504 GEG786504 GOC786504 GXY786504 HHU786504 HRQ786504 IBM786504 ILI786504 IVE786504 JFA786504 JOW786504 JYS786504 KIO786504 KSK786504 LCG786504 LMC786504 LVY786504 MFU786504 MPQ786504 MZM786504 NJI786504 NTE786504 ODA786504 OMW786504 OWS786504 PGO786504 PQK786504 QAG786504 QKC786504 QTY786504 RDU786504 RNQ786504 RXM786504 SHI786504 SRE786504 TBA786504 TKW786504 TUS786504 UEO786504 UOK786504 UYG786504 VIC786504 VRY786504 WBU786504 WLQ786504 WVM786504 E852040 JA852040 SW852040 ACS852040 AMO852040 AWK852040 BGG852040 BQC852040 BZY852040 CJU852040 CTQ852040 DDM852040 DNI852040 DXE852040 EHA852040 EQW852040 FAS852040 FKO852040 FUK852040 GEG852040 GOC852040 GXY852040 HHU852040 HRQ852040 IBM852040 ILI852040 IVE852040 JFA852040 JOW852040 JYS852040 KIO852040 KSK852040 LCG852040 LMC852040 LVY852040 MFU852040 MPQ852040 MZM852040 NJI852040 NTE852040 ODA852040 OMW852040 OWS852040 PGO852040 PQK852040 QAG852040 QKC852040 QTY852040 RDU852040 RNQ852040 RXM852040 SHI852040 SRE852040 TBA852040 TKW852040 TUS852040 UEO852040 UOK852040 UYG852040 VIC852040 VRY852040 WBU852040 WLQ852040 WVM852040 E917576 JA917576 SW917576 ACS917576 AMO917576 AWK917576 BGG917576 BQC917576 BZY917576 CJU917576 CTQ917576 DDM917576 DNI917576 DXE917576 EHA917576 EQW917576 FAS917576 FKO917576 FUK917576 GEG917576 GOC917576 GXY917576 HHU917576 HRQ917576 IBM917576 ILI917576 IVE917576 JFA917576 JOW917576 JYS917576 KIO917576 KSK917576 LCG917576 LMC917576 LVY917576 MFU917576 MPQ917576 MZM917576 NJI917576 NTE917576 ODA917576 OMW917576 OWS917576 PGO917576 PQK917576 QAG917576 QKC917576 QTY917576 RDU917576 RNQ917576 RXM917576 SHI917576 SRE917576 TBA917576 TKW917576 TUS917576 UEO917576 UOK917576 UYG917576 VIC917576 VRY917576 WBU917576 WLQ917576 WVM917576 E983112 JA983112 SW983112 ACS983112 AMO983112 AWK983112 BGG983112 BQC983112 BZY983112 CJU983112 CTQ983112 DDM983112 DNI983112 DXE983112 EHA983112 EQW983112 FAS983112 FKO983112 FUK983112 GEG983112 GOC983112 GXY983112 HHU983112 HRQ983112 IBM983112 ILI983112 IVE983112 JFA983112 JOW983112 JYS983112 KIO983112 KSK983112 LCG983112 LMC983112 LVY983112 MFU983112 MPQ983112 MZM983112 NJI983112 NTE983112 ODA983112 OMW983112 OWS983112 PGO983112 PQK983112 QAG983112 QKC983112 QTY983112 RDU983112 RNQ983112 RXM983112 SHI983112 SRE983112 TBA983112 TKW983112 TUS983112 UEO983112 UOK983112 UYG983112 VIC983112 VRY983112 WBU983112 WLQ983112 WVM983112 E65 JA65 SW65 ACS65 AMO65 AWK65 BGG65 BQC65 BZY65 CJU65 CTQ65 DDM65 DNI65 DXE65 EHA65 EQW65 FAS65 FKO65 FUK65 GEG65 GOC65 GXY65 HHU65 HRQ65 IBM65 ILI65 IVE65 JFA65 JOW65 JYS65 KIO65 KSK65 LCG65 LMC65 LVY65 MFU65 MPQ65 MZM65 NJI65 NTE65 ODA65 OMW65 OWS65 PGO65 PQK65 QAG65 QKC65 QTY65 RDU65 RNQ65 RXM65 SHI65 SRE65 TBA65 TKW65 TUS65 UEO65 UOK65 UYG65 VIC65 VRY65 WBU65 WLQ65 WVM65 E65601 JA65601 SW65601 ACS65601 AMO65601 AWK65601 BGG65601 BQC65601 BZY65601 CJU65601 CTQ65601 DDM65601 DNI65601 DXE65601 EHA65601 EQW65601 FAS65601 FKO65601 FUK65601 GEG65601 GOC65601 GXY65601 HHU65601 HRQ65601 IBM65601 ILI65601 IVE65601 JFA65601 JOW65601 JYS65601 KIO65601 KSK65601 LCG65601 LMC65601 LVY65601 MFU65601 MPQ65601 MZM65601 NJI65601 NTE65601 ODA65601 OMW65601 OWS65601 PGO65601 PQK65601 QAG65601 QKC65601 QTY65601 RDU65601 RNQ65601 RXM65601 SHI65601 SRE65601 TBA65601 TKW65601 TUS65601 UEO65601 UOK65601 UYG65601 VIC65601 VRY65601 WBU65601 WLQ65601 WVM65601 E131137 JA131137 SW131137 ACS131137 AMO131137 AWK131137 BGG131137 BQC131137 BZY131137 CJU131137 CTQ131137 DDM131137 DNI131137 DXE131137 EHA131137 EQW131137 FAS131137 FKO131137 FUK131137 GEG131137 GOC131137 GXY131137 HHU131137 HRQ131137 IBM131137 ILI131137 IVE131137 JFA131137 JOW131137 JYS131137 KIO131137 KSK131137 LCG131137 LMC131137 LVY131137 MFU131137 MPQ131137 MZM131137 NJI131137 NTE131137 ODA131137 OMW131137 OWS131137 PGO131137 PQK131137 QAG131137 QKC131137 QTY131137 RDU131137 RNQ131137 RXM131137 SHI131137 SRE131137 TBA131137 TKW131137 TUS131137 UEO131137 UOK131137 UYG131137 VIC131137 VRY131137 WBU131137 WLQ131137 WVM131137 E196673 JA196673 SW196673 ACS196673 AMO196673 AWK196673 BGG196673 BQC196673 BZY196673 CJU196673 CTQ196673 DDM196673 DNI196673 DXE196673 EHA196673 EQW196673 FAS196673 FKO196673 FUK196673 GEG196673 GOC196673 GXY196673 HHU196673 HRQ196673 IBM196673 ILI196673 IVE196673 JFA196673 JOW196673 JYS196673 KIO196673 KSK196673 LCG196673 LMC196673 LVY196673 MFU196673 MPQ196673 MZM196673 NJI196673 NTE196673 ODA196673 OMW196673 OWS196673 PGO196673 PQK196673 QAG196673 QKC196673 QTY196673 RDU196673 RNQ196673 RXM196673 SHI196673 SRE196673 TBA196673 TKW196673 TUS196673 UEO196673 UOK196673 UYG196673 VIC196673 VRY196673 WBU196673 WLQ196673 WVM196673 E262209 JA262209 SW262209 ACS262209 AMO262209 AWK262209 BGG262209 BQC262209 BZY262209 CJU262209 CTQ262209 DDM262209 DNI262209 DXE262209 EHA262209 EQW262209 FAS262209 FKO262209 FUK262209 GEG262209 GOC262209 GXY262209 HHU262209 HRQ262209 IBM262209 ILI262209 IVE262209 JFA262209 JOW262209 JYS262209 KIO262209 KSK262209 LCG262209 LMC262209 LVY262209 MFU262209 MPQ262209 MZM262209 NJI262209 NTE262209 ODA262209 OMW262209 OWS262209 PGO262209 PQK262209 QAG262209 QKC262209 QTY262209 RDU262209 RNQ262209 RXM262209 SHI262209 SRE262209 TBA262209 TKW262209 TUS262209 UEO262209 UOK262209 UYG262209 VIC262209 VRY262209 WBU262209 WLQ262209 WVM262209 E327745 JA327745 SW327745 ACS327745 AMO327745 AWK327745 BGG327745 BQC327745 BZY327745 CJU327745 CTQ327745 DDM327745 DNI327745 DXE327745 EHA327745 EQW327745 FAS327745 FKO327745 FUK327745 GEG327745 GOC327745 GXY327745 HHU327745 HRQ327745 IBM327745 ILI327745 IVE327745 JFA327745 JOW327745 JYS327745 KIO327745 KSK327745 LCG327745 LMC327745 LVY327745 MFU327745 MPQ327745 MZM327745 NJI327745 NTE327745 ODA327745 OMW327745 OWS327745 PGO327745 PQK327745 QAG327745 QKC327745 QTY327745 RDU327745 RNQ327745 RXM327745 SHI327745 SRE327745 TBA327745 TKW327745 TUS327745 UEO327745 UOK327745 UYG327745 VIC327745 VRY327745 WBU327745 WLQ327745 WVM327745 E393281 JA393281 SW393281 ACS393281 AMO393281 AWK393281 BGG393281 BQC393281 BZY393281 CJU393281 CTQ393281 DDM393281 DNI393281 DXE393281 EHA393281 EQW393281 FAS393281 FKO393281 FUK393281 GEG393281 GOC393281 GXY393281 HHU393281 HRQ393281 IBM393281 ILI393281 IVE393281 JFA393281 JOW393281 JYS393281 KIO393281 KSK393281 LCG393281 LMC393281 LVY393281 MFU393281 MPQ393281 MZM393281 NJI393281 NTE393281 ODA393281 OMW393281 OWS393281 PGO393281 PQK393281 QAG393281 QKC393281 QTY393281 RDU393281 RNQ393281 RXM393281 SHI393281 SRE393281 TBA393281 TKW393281 TUS393281 UEO393281 UOK393281 UYG393281 VIC393281 VRY393281 WBU393281 WLQ393281 WVM393281 E458817 JA458817 SW458817 ACS458817 AMO458817 AWK458817 BGG458817 BQC458817 BZY458817 CJU458817 CTQ458817 DDM458817 DNI458817 DXE458817 EHA458817 EQW458817 FAS458817 FKO458817 FUK458817 GEG458817 GOC458817 GXY458817 HHU458817 HRQ458817 IBM458817 ILI458817 IVE458817 JFA458817 JOW458817 JYS458817 KIO458817 KSK458817 LCG458817 LMC458817 LVY458817 MFU458817 MPQ458817 MZM458817 NJI458817 NTE458817 ODA458817 OMW458817 OWS458817 PGO458817 PQK458817 QAG458817 QKC458817 QTY458817 RDU458817 RNQ458817 RXM458817 SHI458817 SRE458817 TBA458817 TKW458817 TUS458817 UEO458817 UOK458817 UYG458817 VIC458817 VRY458817 WBU458817 WLQ458817 WVM458817 E524353 JA524353 SW524353 ACS524353 AMO524353 AWK524353 BGG524353 BQC524353 BZY524353 CJU524353 CTQ524353 DDM524353 DNI524353 DXE524353 EHA524353 EQW524353 FAS524353 FKO524353 FUK524353 GEG524353 GOC524353 GXY524353 HHU524353 HRQ524353 IBM524353 ILI524353 IVE524353 JFA524353 JOW524353 JYS524353 KIO524353 KSK524353 LCG524353 LMC524353 LVY524353 MFU524353 MPQ524353 MZM524353 NJI524353 NTE524353 ODA524353 OMW524353 OWS524353 PGO524353 PQK524353 QAG524353 QKC524353 QTY524353 RDU524353 RNQ524353 RXM524353 SHI524353 SRE524353 TBA524353 TKW524353 TUS524353 UEO524353 UOK524353 UYG524353 VIC524353 VRY524353 WBU524353 WLQ524353 WVM524353 E589889 JA589889 SW589889 ACS589889 AMO589889 AWK589889 BGG589889 BQC589889 BZY589889 CJU589889 CTQ589889 DDM589889 DNI589889 DXE589889 EHA589889 EQW589889 FAS589889 FKO589889 FUK589889 GEG589889 GOC589889 GXY589889 HHU589889 HRQ589889 IBM589889 ILI589889 IVE589889 JFA589889 JOW589889 JYS589889 KIO589889 KSK589889 LCG589889 LMC589889 LVY589889 MFU589889 MPQ589889 MZM589889 NJI589889 NTE589889 ODA589889 OMW589889 OWS589889 PGO589889 PQK589889 QAG589889 QKC589889 QTY589889 RDU589889 RNQ589889 RXM589889 SHI589889 SRE589889 TBA589889 TKW589889 TUS589889 UEO589889 UOK589889 UYG589889 VIC589889 VRY589889 WBU589889 WLQ589889 WVM589889 E655425 JA655425 SW655425 ACS655425 AMO655425 AWK655425 BGG655425 BQC655425 BZY655425 CJU655425 CTQ655425 DDM655425 DNI655425 DXE655425 EHA655425 EQW655425 FAS655425 FKO655425 FUK655425 GEG655425 GOC655425 GXY655425 HHU655425 HRQ655425 IBM655425 ILI655425 IVE655425 JFA655425 JOW655425 JYS655425 KIO655425 KSK655425 LCG655425 LMC655425 LVY655425 MFU655425 MPQ655425 MZM655425 NJI655425 NTE655425 ODA655425 OMW655425 OWS655425 PGO655425 PQK655425 QAG655425 QKC655425 QTY655425 RDU655425 RNQ655425 RXM655425 SHI655425 SRE655425 TBA655425 TKW655425 TUS655425 UEO655425 UOK655425 UYG655425 VIC655425 VRY655425 WBU655425 WLQ655425 WVM655425 E720961 JA720961 SW720961 ACS720961 AMO720961 AWK720961 BGG720961 BQC720961 BZY720961 CJU720961 CTQ720961 DDM720961 DNI720961 DXE720961 EHA720961 EQW720961 FAS720961 FKO720961 FUK720961 GEG720961 GOC720961 GXY720961 HHU720961 HRQ720961 IBM720961 ILI720961 IVE720961 JFA720961 JOW720961 JYS720961 KIO720961 KSK720961 LCG720961 LMC720961 LVY720961 MFU720961 MPQ720961 MZM720961 NJI720961 NTE720961 ODA720961 OMW720961 OWS720961 PGO720961 PQK720961 QAG720961 QKC720961 QTY720961 RDU720961 RNQ720961 RXM720961 SHI720961 SRE720961 TBA720961 TKW720961 TUS720961 UEO720961 UOK720961 UYG720961 VIC720961 VRY720961 WBU720961 WLQ720961 WVM720961 E786497 JA786497 SW786497 ACS786497 AMO786497 AWK786497 BGG786497 BQC786497 BZY786497 CJU786497 CTQ786497 DDM786497 DNI786497 DXE786497 EHA786497 EQW786497 FAS786497 FKO786497 FUK786497 GEG786497 GOC786497 GXY786497 HHU786497 HRQ786497 IBM786497 ILI786497 IVE786497 JFA786497 JOW786497 JYS786497 KIO786497 KSK786497 LCG786497 LMC786497 LVY786497 MFU786497 MPQ786497 MZM786497 NJI786497 NTE786497 ODA786497 OMW786497 OWS786497 PGO786497 PQK786497 QAG786497 QKC786497 QTY786497 RDU786497 RNQ786497 RXM786497 SHI786497 SRE786497 TBA786497 TKW786497 TUS786497 UEO786497 UOK786497 UYG786497 VIC786497 VRY786497 WBU786497 WLQ786497 WVM786497 E852033 JA852033 SW852033 ACS852033 AMO852033 AWK852033 BGG852033 BQC852033 BZY852033 CJU852033 CTQ852033 DDM852033 DNI852033 DXE852033 EHA852033 EQW852033 FAS852033 FKO852033 FUK852033 GEG852033 GOC852033 GXY852033 HHU852033 HRQ852033 IBM852033 ILI852033 IVE852033 JFA852033 JOW852033 JYS852033 KIO852033 KSK852033 LCG852033 LMC852033 LVY852033 MFU852033 MPQ852033 MZM852033 NJI852033 NTE852033 ODA852033 OMW852033 OWS852033 PGO852033 PQK852033 QAG852033 QKC852033 QTY852033 RDU852033 RNQ852033 RXM852033 SHI852033 SRE852033 TBA852033 TKW852033 TUS852033 UEO852033 UOK852033 UYG852033 VIC852033 VRY852033 WBU852033 WLQ852033 WVM852033 E917569 JA917569 SW917569 ACS917569 AMO917569 AWK917569 BGG917569 BQC917569 BZY917569 CJU917569 CTQ917569 DDM917569 DNI917569 DXE917569 EHA917569 EQW917569 FAS917569 FKO917569 FUK917569 GEG917569 GOC917569 GXY917569 HHU917569 HRQ917569 IBM917569 ILI917569 IVE917569 JFA917569 JOW917569 JYS917569 KIO917569 KSK917569 LCG917569 LMC917569 LVY917569 MFU917569 MPQ917569 MZM917569 NJI917569 NTE917569 ODA917569 OMW917569 OWS917569 PGO917569 PQK917569 QAG917569 QKC917569 QTY917569 RDU917569 RNQ917569 RXM917569 SHI917569 SRE917569 TBA917569 TKW917569 TUS917569 UEO917569 UOK917569 UYG917569 VIC917569 VRY917569 WBU917569 WLQ917569 WVM917569 E983105 JA983105 SW983105 ACS983105 AMO983105 AWK983105 BGG983105 BQC983105 BZY983105 CJU983105 CTQ983105 DDM983105 DNI983105 DXE983105 EHA983105 EQW983105 FAS983105 FKO983105 FUK983105 GEG983105 GOC983105 GXY983105 HHU983105 HRQ983105 IBM983105 ILI983105 IVE983105 JFA983105 JOW983105 JYS983105 KIO983105 KSK983105 LCG983105 LMC983105 LVY983105 MFU983105 MPQ983105 MZM983105 NJI983105 NTE983105 ODA983105 OMW983105 OWS983105 PGO983105 PQK983105 QAG983105 QKC983105 QTY983105 RDU983105 RNQ983105 RXM983105 SHI983105 SRE983105 TBA983105 TKW983105 TUS983105 UEO983105 UOK983105 UYG983105 VIC983105 VRY983105 WBU983105 WLQ983105 WVM983105" xr:uid="{8E93D866-E59A-4D9A-A9D9-6E53F33C9D9D}">
      <formula1>0</formula1>
      <formula2>0.03</formula2>
    </dataValidation>
  </dataValidations>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List Box 1">
              <controlPr defaultSize="0" autoLine="0" autoPict="0">
                <anchor moveWithCells="1" sizeWithCells="1">
                  <from>
                    <xdr:col>0</xdr:col>
                    <xdr:colOff>3676650</xdr:colOff>
                    <xdr:row>28</xdr:row>
                    <xdr:rowOff>28575</xdr:rowOff>
                  </from>
                  <to>
                    <xdr:col>5</xdr:col>
                    <xdr:colOff>9525</xdr:colOff>
                    <xdr:row>29</xdr:row>
                    <xdr:rowOff>295275</xdr:rowOff>
                  </to>
                </anchor>
              </controlPr>
            </control>
          </mc:Choice>
        </mc:AlternateContent>
        <mc:AlternateContent xmlns:mc="http://schemas.openxmlformats.org/markup-compatibility/2006">
          <mc:Choice Requires="x14">
            <control shapeId="3074" r:id="rId5" name="List Box 2">
              <controlPr defaultSize="0" autoLine="0" autoPict="0">
                <anchor moveWithCells="1" sizeWithCells="1">
                  <from>
                    <xdr:col>1</xdr:col>
                    <xdr:colOff>0</xdr:colOff>
                    <xdr:row>7</xdr:row>
                    <xdr:rowOff>38100</xdr:rowOff>
                  </from>
                  <to>
                    <xdr:col>5</xdr:col>
                    <xdr:colOff>0</xdr:colOff>
                    <xdr:row>7</xdr:row>
                    <xdr:rowOff>742950</xdr:rowOff>
                  </to>
                </anchor>
              </controlPr>
            </control>
          </mc:Choice>
        </mc:AlternateContent>
        <mc:AlternateContent xmlns:mc="http://schemas.openxmlformats.org/markup-compatibility/2006">
          <mc:Choice Requires="x14">
            <control shapeId="3075" r:id="rId6" name="List Box 3">
              <controlPr defaultSize="0" autoLine="0" autoPict="0">
                <anchor moveWithCells="1" sizeWithCells="1">
                  <from>
                    <xdr:col>1</xdr:col>
                    <xdr:colOff>9525</xdr:colOff>
                    <xdr:row>8</xdr:row>
                    <xdr:rowOff>47625</xdr:rowOff>
                  </from>
                  <to>
                    <xdr:col>5</xdr:col>
                    <xdr:colOff>0</xdr:colOff>
                    <xdr:row>8</xdr:row>
                    <xdr:rowOff>1257300</xdr:rowOff>
                  </to>
                </anchor>
              </controlPr>
            </control>
          </mc:Choice>
        </mc:AlternateContent>
        <mc:AlternateContent xmlns:mc="http://schemas.openxmlformats.org/markup-compatibility/2006">
          <mc:Choice Requires="x14">
            <control shapeId="3076" r:id="rId7" name="List Box 4">
              <controlPr defaultSize="0" autoLine="0" autoPict="0">
                <anchor moveWithCells="1" sizeWithCells="1">
                  <from>
                    <xdr:col>1</xdr:col>
                    <xdr:colOff>9525</xdr:colOff>
                    <xdr:row>9</xdr:row>
                    <xdr:rowOff>19050</xdr:rowOff>
                  </from>
                  <to>
                    <xdr:col>5</xdr:col>
                    <xdr:colOff>9525</xdr:colOff>
                    <xdr:row>9</xdr:row>
                    <xdr:rowOff>2457450</xdr:rowOff>
                  </to>
                </anchor>
              </controlPr>
            </control>
          </mc:Choice>
        </mc:AlternateContent>
        <mc:AlternateContent xmlns:mc="http://schemas.openxmlformats.org/markup-compatibility/2006">
          <mc:Choice Requires="x14">
            <control shapeId="3077" r:id="rId8" name="List Box 5">
              <controlPr defaultSize="0" autoLine="0" autoPict="0">
                <anchor moveWithCells="1" sizeWithCells="1">
                  <from>
                    <xdr:col>1</xdr:col>
                    <xdr:colOff>66675</xdr:colOff>
                    <xdr:row>39</xdr:row>
                    <xdr:rowOff>257175</xdr:rowOff>
                  </from>
                  <to>
                    <xdr:col>5</xdr:col>
                    <xdr:colOff>9525</xdr:colOff>
                    <xdr:row>40</xdr:row>
                    <xdr:rowOff>304800</xdr:rowOff>
                  </to>
                </anchor>
              </controlPr>
            </control>
          </mc:Choice>
        </mc:AlternateContent>
        <mc:AlternateContent xmlns:mc="http://schemas.openxmlformats.org/markup-compatibility/2006">
          <mc:Choice Requires="x14">
            <control shapeId="3078" r:id="rId9" name="List Box 6">
              <controlPr defaultSize="0" autoLine="0" autoPict="0">
                <anchor moveWithCells="1" sizeWithCells="1">
                  <from>
                    <xdr:col>1</xdr:col>
                    <xdr:colOff>57150</xdr:colOff>
                    <xdr:row>45</xdr:row>
                    <xdr:rowOff>95250</xdr:rowOff>
                  </from>
                  <to>
                    <xdr:col>5</xdr:col>
                    <xdr:colOff>0</xdr:colOff>
                    <xdr:row>45</xdr:row>
                    <xdr:rowOff>390525</xdr:rowOff>
                  </to>
                </anchor>
              </controlPr>
            </control>
          </mc:Choice>
        </mc:AlternateContent>
        <mc:AlternateContent xmlns:mc="http://schemas.openxmlformats.org/markup-compatibility/2006">
          <mc:Choice Requires="x14">
            <control shapeId="3079" r:id="rId10" name="List Box 7">
              <controlPr defaultSize="0" autoLine="0" autoPict="0">
                <anchor moveWithCells="1" sizeWithCells="1">
                  <from>
                    <xdr:col>0</xdr:col>
                    <xdr:colOff>3705225</xdr:colOff>
                    <xdr:row>13</xdr:row>
                    <xdr:rowOff>19050</xdr:rowOff>
                  </from>
                  <to>
                    <xdr:col>3</xdr:col>
                    <xdr:colOff>552450</xdr:colOff>
                    <xdr:row>14</xdr:row>
                    <xdr:rowOff>142875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17CC6A-5185-4252-8F15-616C0221E6FB}">
  <dimension ref="A1:AH179"/>
  <sheetViews>
    <sheetView zoomScaleNormal="100" workbookViewId="0">
      <selection activeCell="O66" sqref="O66"/>
    </sheetView>
  </sheetViews>
  <sheetFormatPr defaultColWidth="8.7109375" defaultRowHeight="15" x14ac:dyDescent="0.25"/>
  <cols>
    <col min="1" max="1" width="34.5703125" style="4" customWidth="1"/>
    <col min="2" max="2" width="9.85546875" style="30" customWidth="1"/>
    <col min="3" max="3" width="8.7109375" style="30"/>
    <col min="4" max="4" width="3" style="4" customWidth="1"/>
    <col min="5" max="5" width="18.42578125" style="4" customWidth="1"/>
    <col min="6" max="6" width="0.85546875" style="4" hidden="1" customWidth="1"/>
    <col min="7" max="7" width="3" style="4" customWidth="1"/>
    <col min="8" max="8" width="10.7109375" style="4" customWidth="1"/>
    <col min="9" max="9" width="2.7109375" style="4" customWidth="1"/>
    <col min="10" max="10" width="6.7109375" style="4" customWidth="1"/>
    <col min="11" max="11" width="3" style="4" customWidth="1"/>
    <col min="12" max="12" width="17.7109375" style="4" customWidth="1"/>
    <col min="13" max="13" width="10.5703125" style="4" customWidth="1"/>
    <col min="14" max="14" width="17.28515625" style="4" bestFit="1" customWidth="1"/>
    <col min="15" max="34" width="11.7109375" style="4" customWidth="1"/>
    <col min="35" max="256" width="8.7109375" style="4"/>
    <col min="257" max="257" width="34.5703125" style="4" customWidth="1"/>
    <col min="258" max="258" width="9.85546875" style="4" customWidth="1"/>
    <col min="259" max="259" width="8.7109375" style="4"/>
    <col min="260" max="260" width="3" style="4" customWidth="1"/>
    <col min="261" max="261" width="18.42578125" style="4" customWidth="1"/>
    <col min="262" max="262" width="0" style="4" hidden="1" customWidth="1"/>
    <col min="263" max="263" width="3" style="4" customWidth="1"/>
    <col min="264" max="264" width="10.7109375" style="4" customWidth="1"/>
    <col min="265" max="265" width="2.7109375" style="4" customWidth="1"/>
    <col min="266" max="266" width="6.7109375" style="4" customWidth="1"/>
    <col min="267" max="267" width="3" style="4" customWidth="1"/>
    <col min="268" max="268" width="17.7109375" style="4" customWidth="1"/>
    <col min="269" max="269" width="10.5703125" style="4" customWidth="1"/>
    <col min="270" max="270" width="17.28515625" style="4" bestFit="1" customWidth="1"/>
    <col min="271" max="285" width="11.7109375" style="4" customWidth="1"/>
    <col min="286" max="512" width="8.7109375" style="4"/>
    <col min="513" max="513" width="34.5703125" style="4" customWidth="1"/>
    <col min="514" max="514" width="9.85546875" style="4" customWidth="1"/>
    <col min="515" max="515" width="8.7109375" style="4"/>
    <col min="516" max="516" width="3" style="4" customWidth="1"/>
    <col min="517" max="517" width="18.42578125" style="4" customWidth="1"/>
    <col min="518" max="518" width="0" style="4" hidden="1" customWidth="1"/>
    <col min="519" max="519" width="3" style="4" customWidth="1"/>
    <col min="520" max="520" width="10.7109375" style="4" customWidth="1"/>
    <col min="521" max="521" width="2.7109375" style="4" customWidth="1"/>
    <col min="522" max="522" width="6.7109375" style="4" customWidth="1"/>
    <col min="523" max="523" width="3" style="4" customWidth="1"/>
    <col min="524" max="524" width="17.7109375" style="4" customWidth="1"/>
    <col min="525" max="525" width="10.5703125" style="4" customWidth="1"/>
    <col min="526" max="526" width="17.28515625" style="4" bestFit="1" customWidth="1"/>
    <col min="527" max="541" width="11.7109375" style="4" customWidth="1"/>
    <col min="542" max="768" width="8.7109375" style="4"/>
    <col min="769" max="769" width="34.5703125" style="4" customWidth="1"/>
    <col min="770" max="770" width="9.85546875" style="4" customWidth="1"/>
    <col min="771" max="771" width="8.7109375" style="4"/>
    <col min="772" max="772" width="3" style="4" customWidth="1"/>
    <col min="773" max="773" width="18.42578125" style="4" customWidth="1"/>
    <col min="774" max="774" width="0" style="4" hidden="1" customWidth="1"/>
    <col min="775" max="775" width="3" style="4" customWidth="1"/>
    <col min="776" max="776" width="10.7109375" style="4" customWidth="1"/>
    <col min="777" max="777" width="2.7109375" style="4" customWidth="1"/>
    <col min="778" max="778" width="6.7109375" style="4" customWidth="1"/>
    <col min="779" max="779" width="3" style="4" customWidth="1"/>
    <col min="780" max="780" width="17.7109375" style="4" customWidth="1"/>
    <col min="781" max="781" width="10.5703125" style="4" customWidth="1"/>
    <col min="782" max="782" width="17.28515625" style="4" bestFit="1" customWidth="1"/>
    <col min="783" max="797" width="11.7109375" style="4" customWidth="1"/>
    <col min="798" max="1024" width="8.7109375" style="4"/>
    <col min="1025" max="1025" width="34.5703125" style="4" customWidth="1"/>
    <col min="1026" max="1026" width="9.85546875" style="4" customWidth="1"/>
    <col min="1027" max="1027" width="8.7109375" style="4"/>
    <col min="1028" max="1028" width="3" style="4" customWidth="1"/>
    <col min="1029" max="1029" width="18.42578125" style="4" customWidth="1"/>
    <col min="1030" max="1030" width="0" style="4" hidden="1" customWidth="1"/>
    <col min="1031" max="1031" width="3" style="4" customWidth="1"/>
    <col min="1032" max="1032" width="10.7109375" style="4" customWidth="1"/>
    <col min="1033" max="1033" width="2.7109375" style="4" customWidth="1"/>
    <col min="1034" max="1034" width="6.7109375" style="4" customWidth="1"/>
    <col min="1035" max="1035" width="3" style="4" customWidth="1"/>
    <col min="1036" max="1036" width="17.7109375" style="4" customWidth="1"/>
    <col min="1037" max="1037" width="10.5703125" style="4" customWidth="1"/>
    <col min="1038" max="1038" width="17.28515625" style="4" bestFit="1" customWidth="1"/>
    <col min="1039" max="1053" width="11.7109375" style="4" customWidth="1"/>
    <col min="1054" max="1280" width="8.7109375" style="4"/>
    <col min="1281" max="1281" width="34.5703125" style="4" customWidth="1"/>
    <col min="1282" max="1282" width="9.85546875" style="4" customWidth="1"/>
    <col min="1283" max="1283" width="8.7109375" style="4"/>
    <col min="1284" max="1284" width="3" style="4" customWidth="1"/>
    <col min="1285" max="1285" width="18.42578125" style="4" customWidth="1"/>
    <col min="1286" max="1286" width="0" style="4" hidden="1" customWidth="1"/>
    <col min="1287" max="1287" width="3" style="4" customWidth="1"/>
    <col min="1288" max="1288" width="10.7109375" style="4" customWidth="1"/>
    <col min="1289" max="1289" width="2.7109375" style="4" customWidth="1"/>
    <col min="1290" max="1290" width="6.7109375" style="4" customWidth="1"/>
    <col min="1291" max="1291" width="3" style="4" customWidth="1"/>
    <col min="1292" max="1292" width="17.7109375" style="4" customWidth="1"/>
    <col min="1293" max="1293" width="10.5703125" style="4" customWidth="1"/>
    <col min="1294" max="1294" width="17.28515625" style="4" bestFit="1" customWidth="1"/>
    <col min="1295" max="1309" width="11.7109375" style="4" customWidth="1"/>
    <col min="1310" max="1536" width="8.7109375" style="4"/>
    <col min="1537" max="1537" width="34.5703125" style="4" customWidth="1"/>
    <col min="1538" max="1538" width="9.85546875" style="4" customWidth="1"/>
    <col min="1539" max="1539" width="8.7109375" style="4"/>
    <col min="1540" max="1540" width="3" style="4" customWidth="1"/>
    <col min="1541" max="1541" width="18.42578125" style="4" customWidth="1"/>
    <col min="1542" max="1542" width="0" style="4" hidden="1" customWidth="1"/>
    <col min="1543" max="1543" width="3" style="4" customWidth="1"/>
    <col min="1544" max="1544" width="10.7109375" style="4" customWidth="1"/>
    <col min="1545" max="1545" width="2.7109375" style="4" customWidth="1"/>
    <col min="1546" max="1546" width="6.7109375" style="4" customWidth="1"/>
    <col min="1547" max="1547" width="3" style="4" customWidth="1"/>
    <col min="1548" max="1548" width="17.7109375" style="4" customWidth="1"/>
    <col min="1549" max="1549" width="10.5703125" style="4" customWidth="1"/>
    <col min="1550" max="1550" width="17.28515625" style="4" bestFit="1" customWidth="1"/>
    <col min="1551" max="1565" width="11.7109375" style="4" customWidth="1"/>
    <col min="1566" max="1792" width="8.7109375" style="4"/>
    <col min="1793" max="1793" width="34.5703125" style="4" customWidth="1"/>
    <col min="1794" max="1794" width="9.85546875" style="4" customWidth="1"/>
    <col min="1795" max="1795" width="8.7109375" style="4"/>
    <col min="1796" max="1796" width="3" style="4" customWidth="1"/>
    <col min="1797" max="1797" width="18.42578125" style="4" customWidth="1"/>
    <col min="1798" max="1798" width="0" style="4" hidden="1" customWidth="1"/>
    <col min="1799" max="1799" width="3" style="4" customWidth="1"/>
    <col min="1800" max="1800" width="10.7109375" style="4" customWidth="1"/>
    <col min="1801" max="1801" width="2.7109375" style="4" customWidth="1"/>
    <col min="1802" max="1802" width="6.7109375" style="4" customWidth="1"/>
    <col min="1803" max="1803" width="3" style="4" customWidth="1"/>
    <col min="1804" max="1804" width="17.7109375" style="4" customWidth="1"/>
    <col min="1805" max="1805" width="10.5703125" style="4" customWidth="1"/>
    <col min="1806" max="1806" width="17.28515625" style="4" bestFit="1" customWidth="1"/>
    <col min="1807" max="1821" width="11.7109375" style="4" customWidth="1"/>
    <col min="1822" max="2048" width="8.7109375" style="4"/>
    <col min="2049" max="2049" width="34.5703125" style="4" customWidth="1"/>
    <col min="2050" max="2050" width="9.85546875" style="4" customWidth="1"/>
    <col min="2051" max="2051" width="8.7109375" style="4"/>
    <col min="2052" max="2052" width="3" style="4" customWidth="1"/>
    <col min="2053" max="2053" width="18.42578125" style="4" customWidth="1"/>
    <col min="2054" max="2054" width="0" style="4" hidden="1" customWidth="1"/>
    <col min="2055" max="2055" width="3" style="4" customWidth="1"/>
    <col min="2056" max="2056" width="10.7109375" style="4" customWidth="1"/>
    <col min="2057" max="2057" width="2.7109375" style="4" customWidth="1"/>
    <col min="2058" max="2058" width="6.7109375" style="4" customWidth="1"/>
    <col min="2059" max="2059" width="3" style="4" customWidth="1"/>
    <col min="2060" max="2060" width="17.7109375" style="4" customWidth="1"/>
    <col min="2061" max="2061" width="10.5703125" style="4" customWidth="1"/>
    <col min="2062" max="2062" width="17.28515625" style="4" bestFit="1" customWidth="1"/>
    <col min="2063" max="2077" width="11.7109375" style="4" customWidth="1"/>
    <col min="2078" max="2304" width="8.7109375" style="4"/>
    <col min="2305" max="2305" width="34.5703125" style="4" customWidth="1"/>
    <col min="2306" max="2306" width="9.85546875" style="4" customWidth="1"/>
    <col min="2307" max="2307" width="8.7109375" style="4"/>
    <col min="2308" max="2308" width="3" style="4" customWidth="1"/>
    <col min="2309" max="2309" width="18.42578125" style="4" customWidth="1"/>
    <col min="2310" max="2310" width="0" style="4" hidden="1" customWidth="1"/>
    <col min="2311" max="2311" width="3" style="4" customWidth="1"/>
    <col min="2312" max="2312" width="10.7109375" style="4" customWidth="1"/>
    <col min="2313" max="2313" width="2.7109375" style="4" customWidth="1"/>
    <col min="2314" max="2314" width="6.7109375" style="4" customWidth="1"/>
    <col min="2315" max="2315" width="3" style="4" customWidth="1"/>
    <col min="2316" max="2316" width="17.7109375" style="4" customWidth="1"/>
    <col min="2317" max="2317" width="10.5703125" style="4" customWidth="1"/>
    <col min="2318" max="2318" width="17.28515625" style="4" bestFit="1" customWidth="1"/>
    <col min="2319" max="2333" width="11.7109375" style="4" customWidth="1"/>
    <col min="2334" max="2560" width="8.7109375" style="4"/>
    <col min="2561" max="2561" width="34.5703125" style="4" customWidth="1"/>
    <col min="2562" max="2562" width="9.85546875" style="4" customWidth="1"/>
    <col min="2563" max="2563" width="8.7109375" style="4"/>
    <col min="2564" max="2564" width="3" style="4" customWidth="1"/>
    <col min="2565" max="2565" width="18.42578125" style="4" customWidth="1"/>
    <col min="2566" max="2566" width="0" style="4" hidden="1" customWidth="1"/>
    <col min="2567" max="2567" width="3" style="4" customWidth="1"/>
    <col min="2568" max="2568" width="10.7109375" style="4" customWidth="1"/>
    <col min="2569" max="2569" width="2.7109375" style="4" customWidth="1"/>
    <col min="2570" max="2570" width="6.7109375" style="4" customWidth="1"/>
    <col min="2571" max="2571" width="3" style="4" customWidth="1"/>
    <col min="2572" max="2572" width="17.7109375" style="4" customWidth="1"/>
    <col min="2573" max="2573" width="10.5703125" style="4" customWidth="1"/>
    <col min="2574" max="2574" width="17.28515625" style="4" bestFit="1" customWidth="1"/>
    <col min="2575" max="2589" width="11.7109375" style="4" customWidth="1"/>
    <col min="2590" max="2816" width="8.7109375" style="4"/>
    <col min="2817" max="2817" width="34.5703125" style="4" customWidth="1"/>
    <col min="2818" max="2818" width="9.85546875" style="4" customWidth="1"/>
    <col min="2819" max="2819" width="8.7109375" style="4"/>
    <col min="2820" max="2820" width="3" style="4" customWidth="1"/>
    <col min="2821" max="2821" width="18.42578125" style="4" customWidth="1"/>
    <col min="2822" max="2822" width="0" style="4" hidden="1" customWidth="1"/>
    <col min="2823" max="2823" width="3" style="4" customWidth="1"/>
    <col min="2824" max="2824" width="10.7109375" style="4" customWidth="1"/>
    <col min="2825" max="2825" width="2.7109375" style="4" customWidth="1"/>
    <col min="2826" max="2826" width="6.7109375" style="4" customWidth="1"/>
    <col min="2827" max="2827" width="3" style="4" customWidth="1"/>
    <col min="2828" max="2828" width="17.7109375" style="4" customWidth="1"/>
    <col min="2829" max="2829" width="10.5703125" style="4" customWidth="1"/>
    <col min="2830" max="2830" width="17.28515625" style="4" bestFit="1" customWidth="1"/>
    <col min="2831" max="2845" width="11.7109375" style="4" customWidth="1"/>
    <col min="2846" max="3072" width="8.7109375" style="4"/>
    <col min="3073" max="3073" width="34.5703125" style="4" customWidth="1"/>
    <col min="3074" max="3074" width="9.85546875" style="4" customWidth="1"/>
    <col min="3075" max="3075" width="8.7109375" style="4"/>
    <col min="3076" max="3076" width="3" style="4" customWidth="1"/>
    <col min="3077" max="3077" width="18.42578125" style="4" customWidth="1"/>
    <col min="3078" max="3078" width="0" style="4" hidden="1" customWidth="1"/>
    <col min="3079" max="3079" width="3" style="4" customWidth="1"/>
    <col min="3080" max="3080" width="10.7109375" style="4" customWidth="1"/>
    <col min="3081" max="3081" width="2.7109375" style="4" customWidth="1"/>
    <col min="3082" max="3082" width="6.7109375" style="4" customWidth="1"/>
    <col min="3083" max="3083" width="3" style="4" customWidth="1"/>
    <col min="3084" max="3084" width="17.7109375" style="4" customWidth="1"/>
    <col min="3085" max="3085" width="10.5703125" style="4" customWidth="1"/>
    <col min="3086" max="3086" width="17.28515625" style="4" bestFit="1" customWidth="1"/>
    <col min="3087" max="3101" width="11.7109375" style="4" customWidth="1"/>
    <col min="3102" max="3328" width="8.7109375" style="4"/>
    <col min="3329" max="3329" width="34.5703125" style="4" customWidth="1"/>
    <col min="3330" max="3330" width="9.85546875" style="4" customWidth="1"/>
    <col min="3331" max="3331" width="8.7109375" style="4"/>
    <col min="3332" max="3332" width="3" style="4" customWidth="1"/>
    <col min="3333" max="3333" width="18.42578125" style="4" customWidth="1"/>
    <col min="3334" max="3334" width="0" style="4" hidden="1" customWidth="1"/>
    <col min="3335" max="3335" width="3" style="4" customWidth="1"/>
    <col min="3336" max="3336" width="10.7109375" style="4" customWidth="1"/>
    <col min="3337" max="3337" width="2.7109375" style="4" customWidth="1"/>
    <col min="3338" max="3338" width="6.7109375" style="4" customWidth="1"/>
    <col min="3339" max="3339" width="3" style="4" customWidth="1"/>
    <col min="3340" max="3340" width="17.7109375" style="4" customWidth="1"/>
    <col min="3341" max="3341" width="10.5703125" style="4" customWidth="1"/>
    <col min="3342" max="3342" width="17.28515625" style="4" bestFit="1" customWidth="1"/>
    <col min="3343" max="3357" width="11.7109375" style="4" customWidth="1"/>
    <col min="3358" max="3584" width="8.7109375" style="4"/>
    <col min="3585" max="3585" width="34.5703125" style="4" customWidth="1"/>
    <col min="3586" max="3586" width="9.85546875" style="4" customWidth="1"/>
    <col min="3587" max="3587" width="8.7109375" style="4"/>
    <col min="3588" max="3588" width="3" style="4" customWidth="1"/>
    <col min="3589" max="3589" width="18.42578125" style="4" customWidth="1"/>
    <col min="3590" max="3590" width="0" style="4" hidden="1" customWidth="1"/>
    <col min="3591" max="3591" width="3" style="4" customWidth="1"/>
    <col min="3592" max="3592" width="10.7109375" style="4" customWidth="1"/>
    <col min="3593" max="3593" width="2.7109375" style="4" customWidth="1"/>
    <col min="3594" max="3594" width="6.7109375" style="4" customWidth="1"/>
    <col min="3595" max="3595" width="3" style="4" customWidth="1"/>
    <col min="3596" max="3596" width="17.7109375" style="4" customWidth="1"/>
    <col min="3597" max="3597" width="10.5703125" style="4" customWidth="1"/>
    <col min="3598" max="3598" width="17.28515625" style="4" bestFit="1" customWidth="1"/>
    <col min="3599" max="3613" width="11.7109375" style="4" customWidth="1"/>
    <col min="3614" max="3840" width="8.7109375" style="4"/>
    <col min="3841" max="3841" width="34.5703125" style="4" customWidth="1"/>
    <col min="3842" max="3842" width="9.85546875" style="4" customWidth="1"/>
    <col min="3843" max="3843" width="8.7109375" style="4"/>
    <col min="3844" max="3844" width="3" style="4" customWidth="1"/>
    <col min="3845" max="3845" width="18.42578125" style="4" customWidth="1"/>
    <col min="3846" max="3846" width="0" style="4" hidden="1" customWidth="1"/>
    <col min="3847" max="3847" width="3" style="4" customWidth="1"/>
    <col min="3848" max="3848" width="10.7109375" style="4" customWidth="1"/>
    <col min="3849" max="3849" width="2.7109375" style="4" customWidth="1"/>
    <col min="3850" max="3850" width="6.7109375" style="4" customWidth="1"/>
    <col min="3851" max="3851" width="3" style="4" customWidth="1"/>
    <col min="3852" max="3852" width="17.7109375" style="4" customWidth="1"/>
    <col min="3853" max="3853" width="10.5703125" style="4" customWidth="1"/>
    <col min="3854" max="3854" width="17.28515625" style="4" bestFit="1" customWidth="1"/>
    <col min="3855" max="3869" width="11.7109375" style="4" customWidth="1"/>
    <col min="3870" max="4096" width="8.7109375" style="4"/>
    <col min="4097" max="4097" width="34.5703125" style="4" customWidth="1"/>
    <col min="4098" max="4098" width="9.85546875" style="4" customWidth="1"/>
    <col min="4099" max="4099" width="8.7109375" style="4"/>
    <col min="4100" max="4100" width="3" style="4" customWidth="1"/>
    <col min="4101" max="4101" width="18.42578125" style="4" customWidth="1"/>
    <col min="4102" max="4102" width="0" style="4" hidden="1" customWidth="1"/>
    <col min="4103" max="4103" width="3" style="4" customWidth="1"/>
    <col min="4104" max="4104" width="10.7109375" style="4" customWidth="1"/>
    <col min="4105" max="4105" width="2.7109375" style="4" customWidth="1"/>
    <col min="4106" max="4106" width="6.7109375" style="4" customWidth="1"/>
    <col min="4107" max="4107" width="3" style="4" customWidth="1"/>
    <col min="4108" max="4108" width="17.7109375" style="4" customWidth="1"/>
    <col min="4109" max="4109" width="10.5703125" style="4" customWidth="1"/>
    <col min="4110" max="4110" width="17.28515625" style="4" bestFit="1" customWidth="1"/>
    <col min="4111" max="4125" width="11.7109375" style="4" customWidth="1"/>
    <col min="4126" max="4352" width="8.7109375" style="4"/>
    <col min="4353" max="4353" width="34.5703125" style="4" customWidth="1"/>
    <col min="4354" max="4354" width="9.85546875" style="4" customWidth="1"/>
    <col min="4355" max="4355" width="8.7109375" style="4"/>
    <col min="4356" max="4356" width="3" style="4" customWidth="1"/>
    <col min="4357" max="4357" width="18.42578125" style="4" customWidth="1"/>
    <col min="4358" max="4358" width="0" style="4" hidden="1" customWidth="1"/>
    <col min="4359" max="4359" width="3" style="4" customWidth="1"/>
    <col min="4360" max="4360" width="10.7109375" style="4" customWidth="1"/>
    <col min="4361" max="4361" width="2.7109375" style="4" customWidth="1"/>
    <col min="4362" max="4362" width="6.7109375" style="4" customWidth="1"/>
    <col min="4363" max="4363" width="3" style="4" customWidth="1"/>
    <col min="4364" max="4364" width="17.7109375" style="4" customWidth="1"/>
    <col min="4365" max="4365" width="10.5703125" style="4" customWidth="1"/>
    <col min="4366" max="4366" width="17.28515625" style="4" bestFit="1" customWidth="1"/>
    <col min="4367" max="4381" width="11.7109375" style="4" customWidth="1"/>
    <col min="4382" max="4608" width="8.7109375" style="4"/>
    <col min="4609" max="4609" width="34.5703125" style="4" customWidth="1"/>
    <col min="4610" max="4610" width="9.85546875" style="4" customWidth="1"/>
    <col min="4611" max="4611" width="8.7109375" style="4"/>
    <col min="4612" max="4612" width="3" style="4" customWidth="1"/>
    <col min="4613" max="4613" width="18.42578125" style="4" customWidth="1"/>
    <col min="4614" max="4614" width="0" style="4" hidden="1" customWidth="1"/>
    <col min="4615" max="4615" width="3" style="4" customWidth="1"/>
    <col min="4616" max="4616" width="10.7109375" style="4" customWidth="1"/>
    <col min="4617" max="4617" width="2.7109375" style="4" customWidth="1"/>
    <col min="4618" max="4618" width="6.7109375" style="4" customWidth="1"/>
    <col min="4619" max="4619" width="3" style="4" customWidth="1"/>
    <col min="4620" max="4620" width="17.7109375" style="4" customWidth="1"/>
    <col min="4621" max="4621" width="10.5703125" style="4" customWidth="1"/>
    <col min="4622" max="4622" width="17.28515625" style="4" bestFit="1" customWidth="1"/>
    <col min="4623" max="4637" width="11.7109375" style="4" customWidth="1"/>
    <col min="4638" max="4864" width="8.7109375" style="4"/>
    <col min="4865" max="4865" width="34.5703125" style="4" customWidth="1"/>
    <col min="4866" max="4866" width="9.85546875" style="4" customWidth="1"/>
    <col min="4867" max="4867" width="8.7109375" style="4"/>
    <col min="4868" max="4868" width="3" style="4" customWidth="1"/>
    <col min="4869" max="4869" width="18.42578125" style="4" customWidth="1"/>
    <col min="4870" max="4870" width="0" style="4" hidden="1" customWidth="1"/>
    <col min="4871" max="4871" width="3" style="4" customWidth="1"/>
    <col min="4872" max="4872" width="10.7109375" style="4" customWidth="1"/>
    <col min="4873" max="4873" width="2.7109375" style="4" customWidth="1"/>
    <col min="4874" max="4874" width="6.7109375" style="4" customWidth="1"/>
    <col min="4875" max="4875" width="3" style="4" customWidth="1"/>
    <col min="4876" max="4876" width="17.7109375" style="4" customWidth="1"/>
    <col min="4877" max="4877" width="10.5703125" style="4" customWidth="1"/>
    <col min="4878" max="4878" width="17.28515625" style="4" bestFit="1" customWidth="1"/>
    <col min="4879" max="4893" width="11.7109375" style="4" customWidth="1"/>
    <col min="4894" max="5120" width="8.7109375" style="4"/>
    <col min="5121" max="5121" width="34.5703125" style="4" customWidth="1"/>
    <col min="5122" max="5122" width="9.85546875" style="4" customWidth="1"/>
    <col min="5123" max="5123" width="8.7109375" style="4"/>
    <col min="5124" max="5124" width="3" style="4" customWidth="1"/>
    <col min="5125" max="5125" width="18.42578125" style="4" customWidth="1"/>
    <col min="5126" max="5126" width="0" style="4" hidden="1" customWidth="1"/>
    <col min="5127" max="5127" width="3" style="4" customWidth="1"/>
    <col min="5128" max="5128" width="10.7109375" style="4" customWidth="1"/>
    <col min="5129" max="5129" width="2.7109375" style="4" customWidth="1"/>
    <col min="5130" max="5130" width="6.7109375" style="4" customWidth="1"/>
    <col min="5131" max="5131" width="3" style="4" customWidth="1"/>
    <col min="5132" max="5132" width="17.7109375" style="4" customWidth="1"/>
    <col min="5133" max="5133" width="10.5703125" style="4" customWidth="1"/>
    <col min="5134" max="5134" width="17.28515625" style="4" bestFit="1" customWidth="1"/>
    <col min="5135" max="5149" width="11.7109375" style="4" customWidth="1"/>
    <col min="5150" max="5376" width="8.7109375" style="4"/>
    <col min="5377" max="5377" width="34.5703125" style="4" customWidth="1"/>
    <col min="5378" max="5378" width="9.85546875" style="4" customWidth="1"/>
    <col min="5379" max="5379" width="8.7109375" style="4"/>
    <col min="5380" max="5380" width="3" style="4" customWidth="1"/>
    <col min="5381" max="5381" width="18.42578125" style="4" customWidth="1"/>
    <col min="5382" max="5382" width="0" style="4" hidden="1" customWidth="1"/>
    <col min="5383" max="5383" width="3" style="4" customWidth="1"/>
    <col min="5384" max="5384" width="10.7109375" style="4" customWidth="1"/>
    <col min="5385" max="5385" width="2.7109375" style="4" customWidth="1"/>
    <col min="5386" max="5386" width="6.7109375" style="4" customWidth="1"/>
    <col min="5387" max="5387" width="3" style="4" customWidth="1"/>
    <col min="5388" max="5388" width="17.7109375" style="4" customWidth="1"/>
    <col min="5389" max="5389" width="10.5703125" style="4" customWidth="1"/>
    <col min="5390" max="5390" width="17.28515625" style="4" bestFit="1" customWidth="1"/>
    <col min="5391" max="5405" width="11.7109375" style="4" customWidth="1"/>
    <col min="5406" max="5632" width="8.7109375" style="4"/>
    <col min="5633" max="5633" width="34.5703125" style="4" customWidth="1"/>
    <col min="5634" max="5634" width="9.85546875" style="4" customWidth="1"/>
    <col min="5635" max="5635" width="8.7109375" style="4"/>
    <col min="5636" max="5636" width="3" style="4" customWidth="1"/>
    <col min="5637" max="5637" width="18.42578125" style="4" customWidth="1"/>
    <col min="5638" max="5638" width="0" style="4" hidden="1" customWidth="1"/>
    <col min="5639" max="5639" width="3" style="4" customWidth="1"/>
    <col min="5640" max="5640" width="10.7109375" style="4" customWidth="1"/>
    <col min="5641" max="5641" width="2.7109375" style="4" customWidth="1"/>
    <col min="5642" max="5642" width="6.7109375" style="4" customWidth="1"/>
    <col min="5643" max="5643" width="3" style="4" customWidth="1"/>
    <col min="5644" max="5644" width="17.7109375" style="4" customWidth="1"/>
    <col min="5645" max="5645" width="10.5703125" style="4" customWidth="1"/>
    <col min="5646" max="5646" width="17.28515625" style="4" bestFit="1" customWidth="1"/>
    <col min="5647" max="5661" width="11.7109375" style="4" customWidth="1"/>
    <col min="5662" max="5888" width="8.7109375" style="4"/>
    <col min="5889" max="5889" width="34.5703125" style="4" customWidth="1"/>
    <col min="5890" max="5890" width="9.85546875" style="4" customWidth="1"/>
    <col min="5891" max="5891" width="8.7109375" style="4"/>
    <col min="5892" max="5892" width="3" style="4" customWidth="1"/>
    <col min="5893" max="5893" width="18.42578125" style="4" customWidth="1"/>
    <col min="5894" max="5894" width="0" style="4" hidden="1" customWidth="1"/>
    <col min="5895" max="5895" width="3" style="4" customWidth="1"/>
    <col min="5896" max="5896" width="10.7109375" style="4" customWidth="1"/>
    <col min="5897" max="5897" width="2.7109375" style="4" customWidth="1"/>
    <col min="5898" max="5898" width="6.7109375" style="4" customWidth="1"/>
    <col min="5899" max="5899" width="3" style="4" customWidth="1"/>
    <col min="5900" max="5900" width="17.7109375" style="4" customWidth="1"/>
    <col min="5901" max="5901" width="10.5703125" style="4" customWidth="1"/>
    <col min="5902" max="5902" width="17.28515625" style="4" bestFit="1" customWidth="1"/>
    <col min="5903" max="5917" width="11.7109375" style="4" customWidth="1"/>
    <col min="5918" max="6144" width="8.7109375" style="4"/>
    <col min="6145" max="6145" width="34.5703125" style="4" customWidth="1"/>
    <col min="6146" max="6146" width="9.85546875" style="4" customWidth="1"/>
    <col min="6147" max="6147" width="8.7109375" style="4"/>
    <col min="6148" max="6148" width="3" style="4" customWidth="1"/>
    <col min="6149" max="6149" width="18.42578125" style="4" customWidth="1"/>
    <col min="6150" max="6150" width="0" style="4" hidden="1" customWidth="1"/>
    <col min="6151" max="6151" width="3" style="4" customWidth="1"/>
    <col min="6152" max="6152" width="10.7109375" style="4" customWidth="1"/>
    <col min="6153" max="6153" width="2.7109375" style="4" customWidth="1"/>
    <col min="6154" max="6154" width="6.7109375" style="4" customWidth="1"/>
    <col min="6155" max="6155" width="3" style="4" customWidth="1"/>
    <col min="6156" max="6156" width="17.7109375" style="4" customWidth="1"/>
    <col min="6157" max="6157" width="10.5703125" style="4" customWidth="1"/>
    <col min="6158" max="6158" width="17.28515625" style="4" bestFit="1" customWidth="1"/>
    <col min="6159" max="6173" width="11.7109375" style="4" customWidth="1"/>
    <col min="6174" max="6400" width="8.7109375" style="4"/>
    <col min="6401" max="6401" width="34.5703125" style="4" customWidth="1"/>
    <col min="6402" max="6402" width="9.85546875" style="4" customWidth="1"/>
    <col min="6403" max="6403" width="8.7109375" style="4"/>
    <col min="6404" max="6404" width="3" style="4" customWidth="1"/>
    <col min="6405" max="6405" width="18.42578125" style="4" customWidth="1"/>
    <col min="6406" max="6406" width="0" style="4" hidden="1" customWidth="1"/>
    <col min="6407" max="6407" width="3" style="4" customWidth="1"/>
    <col min="6408" max="6408" width="10.7109375" style="4" customWidth="1"/>
    <col min="6409" max="6409" width="2.7109375" style="4" customWidth="1"/>
    <col min="6410" max="6410" width="6.7109375" style="4" customWidth="1"/>
    <col min="6411" max="6411" width="3" style="4" customWidth="1"/>
    <col min="6412" max="6412" width="17.7109375" style="4" customWidth="1"/>
    <col min="6413" max="6413" width="10.5703125" style="4" customWidth="1"/>
    <col min="6414" max="6414" width="17.28515625" style="4" bestFit="1" customWidth="1"/>
    <col min="6415" max="6429" width="11.7109375" style="4" customWidth="1"/>
    <col min="6430" max="6656" width="8.7109375" style="4"/>
    <col min="6657" max="6657" width="34.5703125" style="4" customWidth="1"/>
    <col min="6658" max="6658" width="9.85546875" style="4" customWidth="1"/>
    <col min="6659" max="6659" width="8.7109375" style="4"/>
    <col min="6660" max="6660" width="3" style="4" customWidth="1"/>
    <col min="6661" max="6661" width="18.42578125" style="4" customWidth="1"/>
    <col min="6662" max="6662" width="0" style="4" hidden="1" customWidth="1"/>
    <col min="6663" max="6663" width="3" style="4" customWidth="1"/>
    <col min="6664" max="6664" width="10.7109375" style="4" customWidth="1"/>
    <col min="6665" max="6665" width="2.7109375" style="4" customWidth="1"/>
    <col min="6666" max="6666" width="6.7109375" style="4" customWidth="1"/>
    <col min="6667" max="6667" width="3" style="4" customWidth="1"/>
    <col min="6668" max="6668" width="17.7109375" style="4" customWidth="1"/>
    <col min="6669" max="6669" width="10.5703125" style="4" customWidth="1"/>
    <col min="6670" max="6670" width="17.28515625" style="4" bestFit="1" customWidth="1"/>
    <col min="6671" max="6685" width="11.7109375" style="4" customWidth="1"/>
    <col min="6686" max="6912" width="8.7109375" style="4"/>
    <col min="6913" max="6913" width="34.5703125" style="4" customWidth="1"/>
    <col min="6914" max="6914" width="9.85546875" style="4" customWidth="1"/>
    <col min="6915" max="6915" width="8.7109375" style="4"/>
    <col min="6916" max="6916" width="3" style="4" customWidth="1"/>
    <col min="6917" max="6917" width="18.42578125" style="4" customWidth="1"/>
    <col min="6918" max="6918" width="0" style="4" hidden="1" customWidth="1"/>
    <col min="6919" max="6919" width="3" style="4" customWidth="1"/>
    <col min="6920" max="6920" width="10.7109375" style="4" customWidth="1"/>
    <col min="6921" max="6921" width="2.7109375" style="4" customWidth="1"/>
    <col min="6922" max="6922" width="6.7109375" style="4" customWidth="1"/>
    <col min="6923" max="6923" width="3" style="4" customWidth="1"/>
    <col min="6924" max="6924" width="17.7109375" style="4" customWidth="1"/>
    <col min="6925" max="6925" width="10.5703125" style="4" customWidth="1"/>
    <col min="6926" max="6926" width="17.28515625" style="4" bestFit="1" customWidth="1"/>
    <col min="6927" max="6941" width="11.7109375" style="4" customWidth="1"/>
    <col min="6942" max="7168" width="8.7109375" style="4"/>
    <col min="7169" max="7169" width="34.5703125" style="4" customWidth="1"/>
    <col min="7170" max="7170" width="9.85546875" style="4" customWidth="1"/>
    <col min="7171" max="7171" width="8.7109375" style="4"/>
    <col min="7172" max="7172" width="3" style="4" customWidth="1"/>
    <col min="7173" max="7173" width="18.42578125" style="4" customWidth="1"/>
    <col min="7174" max="7174" width="0" style="4" hidden="1" customWidth="1"/>
    <col min="7175" max="7175" width="3" style="4" customWidth="1"/>
    <col min="7176" max="7176" width="10.7109375" style="4" customWidth="1"/>
    <col min="7177" max="7177" width="2.7109375" style="4" customWidth="1"/>
    <col min="7178" max="7178" width="6.7109375" style="4" customWidth="1"/>
    <col min="7179" max="7179" width="3" style="4" customWidth="1"/>
    <col min="7180" max="7180" width="17.7109375" style="4" customWidth="1"/>
    <col min="7181" max="7181" width="10.5703125" style="4" customWidth="1"/>
    <col min="7182" max="7182" width="17.28515625" style="4" bestFit="1" customWidth="1"/>
    <col min="7183" max="7197" width="11.7109375" style="4" customWidth="1"/>
    <col min="7198" max="7424" width="8.7109375" style="4"/>
    <col min="7425" max="7425" width="34.5703125" style="4" customWidth="1"/>
    <col min="7426" max="7426" width="9.85546875" style="4" customWidth="1"/>
    <col min="7427" max="7427" width="8.7109375" style="4"/>
    <col min="7428" max="7428" width="3" style="4" customWidth="1"/>
    <col min="7429" max="7429" width="18.42578125" style="4" customWidth="1"/>
    <col min="7430" max="7430" width="0" style="4" hidden="1" customWidth="1"/>
    <col min="7431" max="7431" width="3" style="4" customWidth="1"/>
    <col min="7432" max="7432" width="10.7109375" style="4" customWidth="1"/>
    <col min="7433" max="7433" width="2.7109375" style="4" customWidth="1"/>
    <col min="7434" max="7434" width="6.7109375" style="4" customWidth="1"/>
    <col min="7435" max="7435" width="3" style="4" customWidth="1"/>
    <col min="7436" max="7436" width="17.7109375" style="4" customWidth="1"/>
    <col min="7437" max="7437" width="10.5703125" style="4" customWidth="1"/>
    <col min="7438" max="7438" width="17.28515625" style="4" bestFit="1" customWidth="1"/>
    <col min="7439" max="7453" width="11.7109375" style="4" customWidth="1"/>
    <col min="7454" max="7680" width="8.7109375" style="4"/>
    <col min="7681" max="7681" width="34.5703125" style="4" customWidth="1"/>
    <col min="7682" max="7682" width="9.85546875" style="4" customWidth="1"/>
    <col min="7683" max="7683" width="8.7109375" style="4"/>
    <col min="7684" max="7684" width="3" style="4" customWidth="1"/>
    <col min="7685" max="7685" width="18.42578125" style="4" customWidth="1"/>
    <col min="7686" max="7686" width="0" style="4" hidden="1" customWidth="1"/>
    <col min="7687" max="7687" width="3" style="4" customWidth="1"/>
    <col min="7688" max="7688" width="10.7109375" style="4" customWidth="1"/>
    <col min="7689" max="7689" width="2.7109375" style="4" customWidth="1"/>
    <col min="7690" max="7690" width="6.7109375" style="4" customWidth="1"/>
    <col min="7691" max="7691" width="3" style="4" customWidth="1"/>
    <col min="7692" max="7692" width="17.7109375" style="4" customWidth="1"/>
    <col min="7693" max="7693" width="10.5703125" style="4" customWidth="1"/>
    <col min="7694" max="7694" width="17.28515625" style="4" bestFit="1" customWidth="1"/>
    <col min="7695" max="7709" width="11.7109375" style="4" customWidth="1"/>
    <col min="7710" max="7936" width="8.7109375" style="4"/>
    <col min="7937" max="7937" width="34.5703125" style="4" customWidth="1"/>
    <col min="7938" max="7938" width="9.85546875" style="4" customWidth="1"/>
    <col min="7939" max="7939" width="8.7109375" style="4"/>
    <col min="7940" max="7940" width="3" style="4" customWidth="1"/>
    <col min="7941" max="7941" width="18.42578125" style="4" customWidth="1"/>
    <col min="7942" max="7942" width="0" style="4" hidden="1" customWidth="1"/>
    <col min="7943" max="7943" width="3" style="4" customWidth="1"/>
    <col min="7944" max="7944" width="10.7109375" style="4" customWidth="1"/>
    <col min="7945" max="7945" width="2.7109375" style="4" customWidth="1"/>
    <col min="7946" max="7946" width="6.7109375" style="4" customWidth="1"/>
    <col min="7947" max="7947" width="3" style="4" customWidth="1"/>
    <col min="7948" max="7948" width="17.7109375" style="4" customWidth="1"/>
    <col min="7949" max="7949" width="10.5703125" style="4" customWidth="1"/>
    <col min="7950" max="7950" width="17.28515625" style="4" bestFit="1" customWidth="1"/>
    <col min="7951" max="7965" width="11.7109375" style="4" customWidth="1"/>
    <col min="7966" max="8192" width="8.7109375" style="4"/>
    <col min="8193" max="8193" width="34.5703125" style="4" customWidth="1"/>
    <col min="8194" max="8194" width="9.85546875" style="4" customWidth="1"/>
    <col min="8195" max="8195" width="8.7109375" style="4"/>
    <col min="8196" max="8196" width="3" style="4" customWidth="1"/>
    <col min="8197" max="8197" width="18.42578125" style="4" customWidth="1"/>
    <col min="8198" max="8198" width="0" style="4" hidden="1" customWidth="1"/>
    <col min="8199" max="8199" width="3" style="4" customWidth="1"/>
    <col min="8200" max="8200" width="10.7109375" style="4" customWidth="1"/>
    <col min="8201" max="8201" width="2.7109375" style="4" customWidth="1"/>
    <col min="8202" max="8202" width="6.7109375" style="4" customWidth="1"/>
    <col min="8203" max="8203" width="3" style="4" customWidth="1"/>
    <col min="8204" max="8204" width="17.7109375" style="4" customWidth="1"/>
    <col min="8205" max="8205" width="10.5703125" style="4" customWidth="1"/>
    <col min="8206" max="8206" width="17.28515625" style="4" bestFit="1" customWidth="1"/>
    <col min="8207" max="8221" width="11.7109375" style="4" customWidth="1"/>
    <col min="8222" max="8448" width="8.7109375" style="4"/>
    <col min="8449" max="8449" width="34.5703125" style="4" customWidth="1"/>
    <col min="8450" max="8450" width="9.85546875" style="4" customWidth="1"/>
    <col min="8451" max="8451" width="8.7109375" style="4"/>
    <col min="8452" max="8452" width="3" style="4" customWidth="1"/>
    <col min="8453" max="8453" width="18.42578125" style="4" customWidth="1"/>
    <col min="8454" max="8454" width="0" style="4" hidden="1" customWidth="1"/>
    <col min="8455" max="8455" width="3" style="4" customWidth="1"/>
    <col min="8456" max="8456" width="10.7109375" style="4" customWidth="1"/>
    <col min="8457" max="8457" width="2.7109375" style="4" customWidth="1"/>
    <col min="8458" max="8458" width="6.7109375" style="4" customWidth="1"/>
    <col min="8459" max="8459" width="3" style="4" customWidth="1"/>
    <col min="8460" max="8460" width="17.7109375" style="4" customWidth="1"/>
    <col min="8461" max="8461" width="10.5703125" style="4" customWidth="1"/>
    <col min="8462" max="8462" width="17.28515625" style="4" bestFit="1" customWidth="1"/>
    <col min="8463" max="8477" width="11.7109375" style="4" customWidth="1"/>
    <col min="8478" max="8704" width="8.7109375" style="4"/>
    <col min="8705" max="8705" width="34.5703125" style="4" customWidth="1"/>
    <col min="8706" max="8706" width="9.85546875" style="4" customWidth="1"/>
    <col min="8707" max="8707" width="8.7109375" style="4"/>
    <col min="8708" max="8708" width="3" style="4" customWidth="1"/>
    <col min="8709" max="8709" width="18.42578125" style="4" customWidth="1"/>
    <col min="8710" max="8710" width="0" style="4" hidden="1" customWidth="1"/>
    <col min="8711" max="8711" width="3" style="4" customWidth="1"/>
    <col min="8712" max="8712" width="10.7109375" style="4" customWidth="1"/>
    <col min="8713" max="8713" width="2.7109375" style="4" customWidth="1"/>
    <col min="8714" max="8714" width="6.7109375" style="4" customWidth="1"/>
    <col min="8715" max="8715" width="3" style="4" customWidth="1"/>
    <col min="8716" max="8716" width="17.7109375" style="4" customWidth="1"/>
    <col min="8717" max="8717" width="10.5703125" style="4" customWidth="1"/>
    <col min="8718" max="8718" width="17.28515625" style="4" bestFit="1" customWidth="1"/>
    <col min="8719" max="8733" width="11.7109375" style="4" customWidth="1"/>
    <col min="8734" max="8960" width="8.7109375" style="4"/>
    <col min="8961" max="8961" width="34.5703125" style="4" customWidth="1"/>
    <col min="8962" max="8962" width="9.85546875" style="4" customWidth="1"/>
    <col min="8963" max="8963" width="8.7109375" style="4"/>
    <col min="8964" max="8964" width="3" style="4" customWidth="1"/>
    <col min="8965" max="8965" width="18.42578125" style="4" customWidth="1"/>
    <col min="8966" max="8966" width="0" style="4" hidden="1" customWidth="1"/>
    <col min="8967" max="8967" width="3" style="4" customWidth="1"/>
    <col min="8968" max="8968" width="10.7109375" style="4" customWidth="1"/>
    <col min="8969" max="8969" width="2.7109375" style="4" customWidth="1"/>
    <col min="8970" max="8970" width="6.7109375" style="4" customWidth="1"/>
    <col min="8971" max="8971" width="3" style="4" customWidth="1"/>
    <col min="8972" max="8972" width="17.7109375" style="4" customWidth="1"/>
    <col min="8973" max="8973" width="10.5703125" style="4" customWidth="1"/>
    <col min="8974" max="8974" width="17.28515625" style="4" bestFit="1" customWidth="1"/>
    <col min="8975" max="8989" width="11.7109375" style="4" customWidth="1"/>
    <col min="8990" max="9216" width="8.7109375" style="4"/>
    <col min="9217" max="9217" width="34.5703125" style="4" customWidth="1"/>
    <col min="9218" max="9218" width="9.85546875" style="4" customWidth="1"/>
    <col min="9219" max="9219" width="8.7109375" style="4"/>
    <col min="9220" max="9220" width="3" style="4" customWidth="1"/>
    <col min="9221" max="9221" width="18.42578125" style="4" customWidth="1"/>
    <col min="9222" max="9222" width="0" style="4" hidden="1" customWidth="1"/>
    <col min="9223" max="9223" width="3" style="4" customWidth="1"/>
    <col min="9224" max="9224" width="10.7109375" style="4" customWidth="1"/>
    <col min="9225" max="9225" width="2.7109375" style="4" customWidth="1"/>
    <col min="9226" max="9226" width="6.7109375" style="4" customWidth="1"/>
    <col min="9227" max="9227" width="3" style="4" customWidth="1"/>
    <col min="9228" max="9228" width="17.7109375" style="4" customWidth="1"/>
    <col min="9229" max="9229" width="10.5703125" style="4" customWidth="1"/>
    <col min="9230" max="9230" width="17.28515625" style="4" bestFit="1" customWidth="1"/>
    <col min="9231" max="9245" width="11.7109375" style="4" customWidth="1"/>
    <col min="9246" max="9472" width="8.7109375" style="4"/>
    <col min="9473" max="9473" width="34.5703125" style="4" customWidth="1"/>
    <col min="9474" max="9474" width="9.85546875" style="4" customWidth="1"/>
    <col min="9475" max="9475" width="8.7109375" style="4"/>
    <col min="9476" max="9476" width="3" style="4" customWidth="1"/>
    <col min="9477" max="9477" width="18.42578125" style="4" customWidth="1"/>
    <col min="9478" max="9478" width="0" style="4" hidden="1" customWidth="1"/>
    <col min="9479" max="9479" width="3" style="4" customWidth="1"/>
    <col min="9480" max="9480" width="10.7109375" style="4" customWidth="1"/>
    <col min="9481" max="9481" width="2.7109375" style="4" customWidth="1"/>
    <col min="9482" max="9482" width="6.7109375" style="4" customWidth="1"/>
    <col min="9483" max="9483" width="3" style="4" customWidth="1"/>
    <col min="9484" max="9484" width="17.7109375" style="4" customWidth="1"/>
    <col min="9485" max="9485" width="10.5703125" style="4" customWidth="1"/>
    <col min="9486" max="9486" width="17.28515625" style="4" bestFit="1" customWidth="1"/>
    <col min="9487" max="9501" width="11.7109375" style="4" customWidth="1"/>
    <col min="9502" max="9728" width="8.7109375" style="4"/>
    <col min="9729" max="9729" width="34.5703125" style="4" customWidth="1"/>
    <col min="9730" max="9730" width="9.85546875" style="4" customWidth="1"/>
    <col min="9731" max="9731" width="8.7109375" style="4"/>
    <col min="9732" max="9732" width="3" style="4" customWidth="1"/>
    <col min="9733" max="9733" width="18.42578125" style="4" customWidth="1"/>
    <col min="9734" max="9734" width="0" style="4" hidden="1" customWidth="1"/>
    <col min="9735" max="9735" width="3" style="4" customWidth="1"/>
    <col min="9736" max="9736" width="10.7109375" style="4" customWidth="1"/>
    <col min="9737" max="9737" width="2.7109375" style="4" customWidth="1"/>
    <col min="9738" max="9738" width="6.7109375" style="4" customWidth="1"/>
    <col min="9739" max="9739" width="3" style="4" customWidth="1"/>
    <col min="9740" max="9740" width="17.7109375" style="4" customWidth="1"/>
    <col min="9741" max="9741" width="10.5703125" style="4" customWidth="1"/>
    <col min="9742" max="9742" width="17.28515625" style="4" bestFit="1" customWidth="1"/>
    <col min="9743" max="9757" width="11.7109375" style="4" customWidth="1"/>
    <col min="9758" max="9984" width="8.7109375" style="4"/>
    <col min="9985" max="9985" width="34.5703125" style="4" customWidth="1"/>
    <col min="9986" max="9986" width="9.85546875" style="4" customWidth="1"/>
    <col min="9987" max="9987" width="8.7109375" style="4"/>
    <col min="9988" max="9988" width="3" style="4" customWidth="1"/>
    <col min="9989" max="9989" width="18.42578125" style="4" customWidth="1"/>
    <col min="9990" max="9990" width="0" style="4" hidden="1" customWidth="1"/>
    <col min="9991" max="9991" width="3" style="4" customWidth="1"/>
    <col min="9992" max="9992" width="10.7109375" style="4" customWidth="1"/>
    <col min="9993" max="9993" width="2.7109375" style="4" customWidth="1"/>
    <col min="9994" max="9994" width="6.7109375" style="4" customWidth="1"/>
    <col min="9995" max="9995" width="3" style="4" customWidth="1"/>
    <col min="9996" max="9996" width="17.7109375" style="4" customWidth="1"/>
    <col min="9997" max="9997" width="10.5703125" style="4" customWidth="1"/>
    <col min="9998" max="9998" width="17.28515625" style="4" bestFit="1" customWidth="1"/>
    <col min="9999" max="10013" width="11.7109375" style="4" customWidth="1"/>
    <col min="10014" max="10240" width="8.7109375" style="4"/>
    <col min="10241" max="10241" width="34.5703125" style="4" customWidth="1"/>
    <col min="10242" max="10242" width="9.85546875" style="4" customWidth="1"/>
    <col min="10243" max="10243" width="8.7109375" style="4"/>
    <col min="10244" max="10244" width="3" style="4" customWidth="1"/>
    <col min="10245" max="10245" width="18.42578125" style="4" customWidth="1"/>
    <col min="10246" max="10246" width="0" style="4" hidden="1" customWidth="1"/>
    <col min="10247" max="10247" width="3" style="4" customWidth="1"/>
    <col min="10248" max="10248" width="10.7109375" style="4" customWidth="1"/>
    <col min="10249" max="10249" width="2.7109375" style="4" customWidth="1"/>
    <col min="10250" max="10250" width="6.7109375" style="4" customWidth="1"/>
    <col min="10251" max="10251" width="3" style="4" customWidth="1"/>
    <col min="10252" max="10252" width="17.7109375" style="4" customWidth="1"/>
    <col min="10253" max="10253" width="10.5703125" style="4" customWidth="1"/>
    <col min="10254" max="10254" width="17.28515625" style="4" bestFit="1" customWidth="1"/>
    <col min="10255" max="10269" width="11.7109375" style="4" customWidth="1"/>
    <col min="10270" max="10496" width="8.7109375" style="4"/>
    <col min="10497" max="10497" width="34.5703125" style="4" customWidth="1"/>
    <col min="10498" max="10498" width="9.85546875" style="4" customWidth="1"/>
    <col min="10499" max="10499" width="8.7109375" style="4"/>
    <col min="10500" max="10500" width="3" style="4" customWidth="1"/>
    <col min="10501" max="10501" width="18.42578125" style="4" customWidth="1"/>
    <col min="10502" max="10502" width="0" style="4" hidden="1" customWidth="1"/>
    <col min="10503" max="10503" width="3" style="4" customWidth="1"/>
    <col min="10504" max="10504" width="10.7109375" style="4" customWidth="1"/>
    <col min="10505" max="10505" width="2.7109375" style="4" customWidth="1"/>
    <col min="10506" max="10506" width="6.7109375" style="4" customWidth="1"/>
    <col min="10507" max="10507" width="3" style="4" customWidth="1"/>
    <col min="10508" max="10508" width="17.7109375" style="4" customWidth="1"/>
    <col min="10509" max="10509" width="10.5703125" style="4" customWidth="1"/>
    <col min="10510" max="10510" width="17.28515625" style="4" bestFit="1" customWidth="1"/>
    <col min="10511" max="10525" width="11.7109375" style="4" customWidth="1"/>
    <col min="10526" max="10752" width="8.7109375" style="4"/>
    <col min="10753" max="10753" width="34.5703125" style="4" customWidth="1"/>
    <col min="10754" max="10754" width="9.85546875" style="4" customWidth="1"/>
    <col min="10755" max="10755" width="8.7109375" style="4"/>
    <col min="10756" max="10756" width="3" style="4" customWidth="1"/>
    <col min="10757" max="10757" width="18.42578125" style="4" customWidth="1"/>
    <col min="10758" max="10758" width="0" style="4" hidden="1" customWidth="1"/>
    <col min="10759" max="10759" width="3" style="4" customWidth="1"/>
    <col min="10760" max="10760" width="10.7109375" style="4" customWidth="1"/>
    <col min="10761" max="10761" width="2.7109375" style="4" customWidth="1"/>
    <col min="10762" max="10762" width="6.7109375" style="4" customWidth="1"/>
    <col min="10763" max="10763" width="3" style="4" customWidth="1"/>
    <col min="10764" max="10764" width="17.7109375" style="4" customWidth="1"/>
    <col min="10765" max="10765" width="10.5703125" style="4" customWidth="1"/>
    <col min="10766" max="10766" width="17.28515625" style="4" bestFit="1" customWidth="1"/>
    <col min="10767" max="10781" width="11.7109375" style="4" customWidth="1"/>
    <col min="10782" max="11008" width="8.7109375" style="4"/>
    <col min="11009" max="11009" width="34.5703125" style="4" customWidth="1"/>
    <col min="11010" max="11010" width="9.85546875" style="4" customWidth="1"/>
    <col min="11011" max="11011" width="8.7109375" style="4"/>
    <col min="11012" max="11012" width="3" style="4" customWidth="1"/>
    <col min="11013" max="11013" width="18.42578125" style="4" customWidth="1"/>
    <col min="11014" max="11014" width="0" style="4" hidden="1" customWidth="1"/>
    <col min="11015" max="11015" width="3" style="4" customWidth="1"/>
    <col min="11016" max="11016" width="10.7109375" style="4" customWidth="1"/>
    <col min="11017" max="11017" width="2.7109375" style="4" customWidth="1"/>
    <col min="11018" max="11018" width="6.7109375" style="4" customWidth="1"/>
    <col min="11019" max="11019" width="3" style="4" customWidth="1"/>
    <col min="11020" max="11020" width="17.7109375" style="4" customWidth="1"/>
    <col min="11021" max="11021" width="10.5703125" style="4" customWidth="1"/>
    <col min="11022" max="11022" width="17.28515625" style="4" bestFit="1" customWidth="1"/>
    <col min="11023" max="11037" width="11.7109375" style="4" customWidth="1"/>
    <col min="11038" max="11264" width="8.7109375" style="4"/>
    <col min="11265" max="11265" width="34.5703125" style="4" customWidth="1"/>
    <col min="11266" max="11266" width="9.85546875" style="4" customWidth="1"/>
    <col min="11267" max="11267" width="8.7109375" style="4"/>
    <col min="11268" max="11268" width="3" style="4" customWidth="1"/>
    <col min="11269" max="11269" width="18.42578125" style="4" customWidth="1"/>
    <col min="11270" max="11270" width="0" style="4" hidden="1" customWidth="1"/>
    <col min="11271" max="11271" width="3" style="4" customWidth="1"/>
    <col min="11272" max="11272" width="10.7109375" style="4" customWidth="1"/>
    <col min="11273" max="11273" width="2.7109375" style="4" customWidth="1"/>
    <col min="11274" max="11274" width="6.7109375" style="4" customWidth="1"/>
    <col min="11275" max="11275" width="3" style="4" customWidth="1"/>
    <col min="11276" max="11276" width="17.7109375" style="4" customWidth="1"/>
    <col min="11277" max="11277" width="10.5703125" style="4" customWidth="1"/>
    <col min="11278" max="11278" width="17.28515625" style="4" bestFit="1" customWidth="1"/>
    <col min="11279" max="11293" width="11.7109375" style="4" customWidth="1"/>
    <col min="11294" max="11520" width="8.7109375" style="4"/>
    <col min="11521" max="11521" width="34.5703125" style="4" customWidth="1"/>
    <col min="11522" max="11522" width="9.85546875" style="4" customWidth="1"/>
    <col min="11523" max="11523" width="8.7109375" style="4"/>
    <col min="11524" max="11524" width="3" style="4" customWidth="1"/>
    <col min="11525" max="11525" width="18.42578125" style="4" customWidth="1"/>
    <col min="11526" max="11526" width="0" style="4" hidden="1" customWidth="1"/>
    <col min="11527" max="11527" width="3" style="4" customWidth="1"/>
    <col min="11528" max="11528" width="10.7109375" style="4" customWidth="1"/>
    <col min="11529" max="11529" width="2.7109375" style="4" customWidth="1"/>
    <col min="11530" max="11530" width="6.7109375" style="4" customWidth="1"/>
    <col min="11531" max="11531" width="3" style="4" customWidth="1"/>
    <col min="11532" max="11532" width="17.7109375" style="4" customWidth="1"/>
    <col min="11533" max="11533" width="10.5703125" style="4" customWidth="1"/>
    <col min="11534" max="11534" width="17.28515625" style="4" bestFit="1" customWidth="1"/>
    <col min="11535" max="11549" width="11.7109375" style="4" customWidth="1"/>
    <col min="11550" max="11776" width="8.7109375" style="4"/>
    <col min="11777" max="11777" width="34.5703125" style="4" customWidth="1"/>
    <col min="11778" max="11778" width="9.85546875" style="4" customWidth="1"/>
    <col min="11779" max="11779" width="8.7109375" style="4"/>
    <col min="11780" max="11780" width="3" style="4" customWidth="1"/>
    <col min="11781" max="11781" width="18.42578125" style="4" customWidth="1"/>
    <col min="11782" max="11782" width="0" style="4" hidden="1" customWidth="1"/>
    <col min="11783" max="11783" width="3" style="4" customWidth="1"/>
    <col min="11784" max="11784" width="10.7109375" style="4" customWidth="1"/>
    <col min="11785" max="11785" width="2.7109375" style="4" customWidth="1"/>
    <col min="11786" max="11786" width="6.7109375" style="4" customWidth="1"/>
    <col min="11787" max="11787" width="3" style="4" customWidth="1"/>
    <col min="11788" max="11788" width="17.7109375" style="4" customWidth="1"/>
    <col min="11789" max="11789" width="10.5703125" style="4" customWidth="1"/>
    <col min="11790" max="11790" width="17.28515625" style="4" bestFit="1" customWidth="1"/>
    <col min="11791" max="11805" width="11.7109375" style="4" customWidth="1"/>
    <col min="11806" max="12032" width="8.7109375" style="4"/>
    <col min="12033" max="12033" width="34.5703125" style="4" customWidth="1"/>
    <col min="12034" max="12034" width="9.85546875" style="4" customWidth="1"/>
    <col min="12035" max="12035" width="8.7109375" style="4"/>
    <col min="12036" max="12036" width="3" style="4" customWidth="1"/>
    <col min="12037" max="12037" width="18.42578125" style="4" customWidth="1"/>
    <col min="12038" max="12038" width="0" style="4" hidden="1" customWidth="1"/>
    <col min="12039" max="12039" width="3" style="4" customWidth="1"/>
    <col min="12040" max="12040" width="10.7109375" style="4" customWidth="1"/>
    <col min="12041" max="12041" width="2.7109375" style="4" customWidth="1"/>
    <col min="12042" max="12042" width="6.7109375" style="4" customWidth="1"/>
    <col min="12043" max="12043" width="3" style="4" customWidth="1"/>
    <col min="12044" max="12044" width="17.7109375" style="4" customWidth="1"/>
    <col min="12045" max="12045" width="10.5703125" style="4" customWidth="1"/>
    <col min="12046" max="12046" width="17.28515625" style="4" bestFit="1" customWidth="1"/>
    <col min="12047" max="12061" width="11.7109375" style="4" customWidth="1"/>
    <col min="12062" max="12288" width="8.7109375" style="4"/>
    <col min="12289" max="12289" width="34.5703125" style="4" customWidth="1"/>
    <col min="12290" max="12290" width="9.85546875" style="4" customWidth="1"/>
    <col min="12291" max="12291" width="8.7109375" style="4"/>
    <col min="12292" max="12292" width="3" style="4" customWidth="1"/>
    <col min="12293" max="12293" width="18.42578125" style="4" customWidth="1"/>
    <col min="12294" max="12294" width="0" style="4" hidden="1" customWidth="1"/>
    <col min="12295" max="12295" width="3" style="4" customWidth="1"/>
    <col min="12296" max="12296" width="10.7109375" style="4" customWidth="1"/>
    <col min="12297" max="12297" width="2.7109375" style="4" customWidth="1"/>
    <col min="12298" max="12298" width="6.7109375" style="4" customWidth="1"/>
    <col min="12299" max="12299" width="3" style="4" customWidth="1"/>
    <col min="12300" max="12300" width="17.7109375" style="4" customWidth="1"/>
    <col min="12301" max="12301" width="10.5703125" style="4" customWidth="1"/>
    <col min="12302" max="12302" width="17.28515625" style="4" bestFit="1" customWidth="1"/>
    <col min="12303" max="12317" width="11.7109375" style="4" customWidth="1"/>
    <col min="12318" max="12544" width="8.7109375" style="4"/>
    <col min="12545" max="12545" width="34.5703125" style="4" customWidth="1"/>
    <col min="12546" max="12546" width="9.85546875" style="4" customWidth="1"/>
    <col min="12547" max="12547" width="8.7109375" style="4"/>
    <col min="12548" max="12548" width="3" style="4" customWidth="1"/>
    <col min="12549" max="12549" width="18.42578125" style="4" customWidth="1"/>
    <col min="12550" max="12550" width="0" style="4" hidden="1" customWidth="1"/>
    <col min="12551" max="12551" width="3" style="4" customWidth="1"/>
    <col min="12552" max="12552" width="10.7109375" style="4" customWidth="1"/>
    <col min="12553" max="12553" width="2.7109375" style="4" customWidth="1"/>
    <col min="12554" max="12554" width="6.7109375" style="4" customWidth="1"/>
    <col min="12555" max="12555" width="3" style="4" customWidth="1"/>
    <col min="12556" max="12556" width="17.7109375" style="4" customWidth="1"/>
    <col min="12557" max="12557" width="10.5703125" style="4" customWidth="1"/>
    <col min="12558" max="12558" width="17.28515625" style="4" bestFit="1" customWidth="1"/>
    <col min="12559" max="12573" width="11.7109375" style="4" customWidth="1"/>
    <col min="12574" max="12800" width="8.7109375" style="4"/>
    <col min="12801" max="12801" width="34.5703125" style="4" customWidth="1"/>
    <col min="12802" max="12802" width="9.85546875" style="4" customWidth="1"/>
    <col min="12803" max="12803" width="8.7109375" style="4"/>
    <col min="12804" max="12804" width="3" style="4" customWidth="1"/>
    <col min="12805" max="12805" width="18.42578125" style="4" customWidth="1"/>
    <col min="12806" max="12806" width="0" style="4" hidden="1" customWidth="1"/>
    <col min="12807" max="12807" width="3" style="4" customWidth="1"/>
    <col min="12808" max="12808" width="10.7109375" style="4" customWidth="1"/>
    <col min="12809" max="12809" width="2.7109375" style="4" customWidth="1"/>
    <col min="12810" max="12810" width="6.7109375" style="4" customWidth="1"/>
    <col min="12811" max="12811" width="3" style="4" customWidth="1"/>
    <col min="12812" max="12812" width="17.7109375" style="4" customWidth="1"/>
    <col min="12813" max="12813" width="10.5703125" style="4" customWidth="1"/>
    <col min="12814" max="12814" width="17.28515625" style="4" bestFit="1" customWidth="1"/>
    <col min="12815" max="12829" width="11.7109375" style="4" customWidth="1"/>
    <col min="12830" max="13056" width="8.7109375" style="4"/>
    <col min="13057" max="13057" width="34.5703125" style="4" customWidth="1"/>
    <col min="13058" max="13058" width="9.85546875" style="4" customWidth="1"/>
    <col min="13059" max="13059" width="8.7109375" style="4"/>
    <col min="13060" max="13060" width="3" style="4" customWidth="1"/>
    <col min="13061" max="13061" width="18.42578125" style="4" customWidth="1"/>
    <col min="13062" max="13062" width="0" style="4" hidden="1" customWidth="1"/>
    <col min="13063" max="13063" width="3" style="4" customWidth="1"/>
    <col min="13064" max="13064" width="10.7109375" style="4" customWidth="1"/>
    <col min="13065" max="13065" width="2.7109375" style="4" customWidth="1"/>
    <col min="13066" max="13066" width="6.7109375" style="4" customWidth="1"/>
    <col min="13067" max="13067" width="3" style="4" customWidth="1"/>
    <col min="13068" max="13068" width="17.7109375" style="4" customWidth="1"/>
    <col min="13069" max="13069" width="10.5703125" style="4" customWidth="1"/>
    <col min="13070" max="13070" width="17.28515625" style="4" bestFit="1" customWidth="1"/>
    <col min="13071" max="13085" width="11.7109375" style="4" customWidth="1"/>
    <col min="13086" max="13312" width="8.7109375" style="4"/>
    <col min="13313" max="13313" width="34.5703125" style="4" customWidth="1"/>
    <col min="13314" max="13314" width="9.85546875" style="4" customWidth="1"/>
    <col min="13315" max="13315" width="8.7109375" style="4"/>
    <col min="13316" max="13316" width="3" style="4" customWidth="1"/>
    <col min="13317" max="13317" width="18.42578125" style="4" customWidth="1"/>
    <col min="13318" max="13318" width="0" style="4" hidden="1" customWidth="1"/>
    <col min="13319" max="13319" width="3" style="4" customWidth="1"/>
    <col min="13320" max="13320" width="10.7109375" style="4" customWidth="1"/>
    <col min="13321" max="13321" width="2.7109375" style="4" customWidth="1"/>
    <col min="13322" max="13322" width="6.7109375" style="4" customWidth="1"/>
    <col min="13323" max="13323" width="3" style="4" customWidth="1"/>
    <col min="13324" max="13324" width="17.7109375" style="4" customWidth="1"/>
    <col min="13325" max="13325" width="10.5703125" style="4" customWidth="1"/>
    <col min="13326" max="13326" width="17.28515625" style="4" bestFit="1" customWidth="1"/>
    <col min="13327" max="13341" width="11.7109375" style="4" customWidth="1"/>
    <col min="13342" max="13568" width="8.7109375" style="4"/>
    <col min="13569" max="13569" width="34.5703125" style="4" customWidth="1"/>
    <col min="13570" max="13570" width="9.85546875" style="4" customWidth="1"/>
    <col min="13571" max="13571" width="8.7109375" style="4"/>
    <col min="13572" max="13572" width="3" style="4" customWidth="1"/>
    <col min="13573" max="13573" width="18.42578125" style="4" customWidth="1"/>
    <col min="13574" max="13574" width="0" style="4" hidden="1" customWidth="1"/>
    <col min="13575" max="13575" width="3" style="4" customWidth="1"/>
    <col min="13576" max="13576" width="10.7109375" style="4" customWidth="1"/>
    <col min="13577" max="13577" width="2.7109375" style="4" customWidth="1"/>
    <col min="13578" max="13578" width="6.7109375" style="4" customWidth="1"/>
    <col min="13579" max="13579" width="3" style="4" customWidth="1"/>
    <col min="13580" max="13580" width="17.7109375" style="4" customWidth="1"/>
    <col min="13581" max="13581" width="10.5703125" style="4" customWidth="1"/>
    <col min="13582" max="13582" width="17.28515625" style="4" bestFit="1" customWidth="1"/>
    <col min="13583" max="13597" width="11.7109375" style="4" customWidth="1"/>
    <col min="13598" max="13824" width="8.7109375" style="4"/>
    <col min="13825" max="13825" width="34.5703125" style="4" customWidth="1"/>
    <col min="13826" max="13826" width="9.85546875" style="4" customWidth="1"/>
    <col min="13827" max="13827" width="8.7109375" style="4"/>
    <col min="13828" max="13828" width="3" style="4" customWidth="1"/>
    <col min="13829" max="13829" width="18.42578125" style="4" customWidth="1"/>
    <col min="13830" max="13830" width="0" style="4" hidden="1" customWidth="1"/>
    <col min="13831" max="13831" width="3" style="4" customWidth="1"/>
    <col min="13832" max="13832" width="10.7109375" style="4" customWidth="1"/>
    <col min="13833" max="13833" width="2.7109375" style="4" customWidth="1"/>
    <col min="13834" max="13834" width="6.7109375" style="4" customWidth="1"/>
    <col min="13835" max="13835" width="3" style="4" customWidth="1"/>
    <col min="13836" max="13836" width="17.7109375" style="4" customWidth="1"/>
    <col min="13837" max="13837" width="10.5703125" style="4" customWidth="1"/>
    <col min="13838" max="13838" width="17.28515625" style="4" bestFit="1" customWidth="1"/>
    <col min="13839" max="13853" width="11.7109375" style="4" customWidth="1"/>
    <col min="13854" max="14080" width="8.7109375" style="4"/>
    <col min="14081" max="14081" width="34.5703125" style="4" customWidth="1"/>
    <col min="14082" max="14082" width="9.85546875" style="4" customWidth="1"/>
    <col min="14083" max="14083" width="8.7109375" style="4"/>
    <col min="14084" max="14084" width="3" style="4" customWidth="1"/>
    <col min="14085" max="14085" width="18.42578125" style="4" customWidth="1"/>
    <col min="14086" max="14086" width="0" style="4" hidden="1" customWidth="1"/>
    <col min="14087" max="14087" width="3" style="4" customWidth="1"/>
    <col min="14088" max="14088" width="10.7109375" style="4" customWidth="1"/>
    <col min="14089" max="14089" width="2.7109375" style="4" customWidth="1"/>
    <col min="14090" max="14090" width="6.7109375" style="4" customWidth="1"/>
    <col min="14091" max="14091" width="3" style="4" customWidth="1"/>
    <col min="14092" max="14092" width="17.7109375" style="4" customWidth="1"/>
    <col min="14093" max="14093" width="10.5703125" style="4" customWidth="1"/>
    <col min="14094" max="14094" width="17.28515625" style="4" bestFit="1" customWidth="1"/>
    <col min="14095" max="14109" width="11.7109375" style="4" customWidth="1"/>
    <col min="14110" max="14336" width="8.7109375" style="4"/>
    <col min="14337" max="14337" width="34.5703125" style="4" customWidth="1"/>
    <col min="14338" max="14338" width="9.85546875" style="4" customWidth="1"/>
    <col min="14339" max="14339" width="8.7109375" style="4"/>
    <col min="14340" max="14340" width="3" style="4" customWidth="1"/>
    <col min="14341" max="14341" width="18.42578125" style="4" customWidth="1"/>
    <col min="14342" max="14342" width="0" style="4" hidden="1" customWidth="1"/>
    <col min="14343" max="14343" width="3" style="4" customWidth="1"/>
    <col min="14344" max="14344" width="10.7109375" style="4" customWidth="1"/>
    <col min="14345" max="14345" width="2.7109375" style="4" customWidth="1"/>
    <col min="14346" max="14346" width="6.7109375" style="4" customWidth="1"/>
    <col min="14347" max="14347" width="3" style="4" customWidth="1"/>
    <col min="14348" max="14348" width="17.7109375" style="4" customWidth="1"/>
    <col min="14349" max="14349" width="10.5703125" style="4" customWidth="1"/>
    <col min="14350" max="14350" width="17.28515625" style="4" bestFit="1" customWidth="1"/>
    <col min="14351" max="14365" width="11.7109375" style="4" customWidth="1"/>
    <col min="14366" max="14592" width="8.7109375" style="4"/>
    <col min="14593" max="14593" width="34.5703125" style="4" customWidth="1"/>
    <col min="14594" max="14594" width="9.85546875" style="4" customWidth="1"/>
    <col min="14595" max="14595" width="8.7109375" style="4"/>
    <col min="14596" max="14596" width="3" style="4" customWidth="1"/>
    <col min="14597" max="14597" width="18.42578125" style="4" customWidth="1"/>
    <col min="14598" max="14598" width="0" style="4" hidden="1" customWidth="1"/>
    <col min="14599" max="14599" width="3" style="4" customWidth="1"/>
    <col min="14600" max="14600" width="10.7109375" style="4" customWidth="1"/>
    <col min="14601" max="14601" width="2.7109375" style="4" customWidth="1"/>
    <col min="14602" max="14602" width="6.7109375" style="4" customWidth="1"/>
    <col min="14603" max="14603" width="3" style="4" customWidth="1"/>
    <col min="14604" max="14604" width="17.7109375" style="4" customWidth="1"/>
    <col min="14605" max="14605" width="10.5703125" style="4" customWidth="1"/>
    <col min="14606" max="14606" width="17.28515625" style="4" bestFit="1" customWidth="1"/>
    <col min="14607" max="14621" width="11.7109375" style="4" customWidth="1"/>
    <col min="14622" max="14848" width="8.7109375" style="4"/>
    <col min="14849" max="14849" width="34.5703125" style="4" customWidth="1"/>
    <col min="14850" max="14850" width="9.85546875" style="4" customWidth="1"/>
    <col min="14851" max="14851" width="8.7109375" style="4"/>
    <col min="14852" max="14852" width="3" style="4" customWidth="1"/>
    <col min="14853" max="14853" width="18.42578125" style="4" customWidth="1"/>
    <col min="14854" max="14854" width="0" style="4" hidden="1" customWidth="1"/>
    <col min="14855" max="14855" width="3" style="4" customWidth="1"/>
    <col min="14856" max="14856" width="10.7109375" style="4" customWidth="1"/>
    <col min="14857" max="14857" width="2.7109375" style="4" customWidth="1"/>
    <col min="14858" max="14858" width="6.7109375" style="4" customWidth="1"/>
    <col min="14859" max="14859" width="3" style="4" customWidth="1"/>
    <col min="14860" max="14860" width="17.7109375" style="4" customWidth="1"/>
    <col min="14861" max="14861" width="10.5703125" style="4" customWidth="1"/>
    <col min="14862" max="14862" width="17.28515625" style="4" bestFit="1" customWidth="1"/>
    <col min="14863" max="14877" width="11.7109375" style="4" customWidth="1"/>
    <col min="14878" max="15104" width="8.7109375" style="4"/>
    <col min="15105" max="15105" width="34.5703125" style="4" customWidth="1"/>
    <col min="15106" max="15106" width="9.85546875" style="4" customWidth="1"/>
    <col min="15107" max="15107" width="8.7109375" style="4"/>
    <col min="15108" max="15108" width="3" style="4" customWidth="1"/>
    <col min="15109" max="15109" width="18.42578125" style="4" customWidth="1"/>
    <col min="15110" max="15110" width="0" style="4" hidden="1" customWidth="1"/>
    <col min="15111" max="15111" width="3" style="4" customWidth="1"/>
    <col min="15112" max="15112" width="10.7109375" style="4" customWidth="1"/>
    <col min="15113" max="15113" width="2.7109375" style="4" customWidth="1"/>
    <col min="15114" max="15114" width="6.7109375" style="4" customWidth="1"/>
    <col min="15115" max="15115" width="3" style="4" customWidth="1"/>
    <col min="15116" max="15116" width="17.7109375" style="4" customWidth="1"/>
    <col min="15117" max="15117" width="10.5703125" style="4" customWidth="1"/>
    <col min="15118" max="15118" width="17.28515625" style="4" bestFit="1" customWidth="1"/>
    <col min="15119" max="15133" width="11.7109375" style="4" customWidth="1"/>
    <col min="15134" max="15360" width="8.7109375" style="4"/>
    <col min="15361" max="15361" width="34.5703125" style="4" customWidth="1"/>
    <col min="15362" max="15362" width="9.85546875" style="4" customWidth="1"/>
    <col min="15363" max="15363" width="8.7109375" style="4"/>
    <col min="15364" max="15364" width="3" style="4" customWidth="1"/>
    <col min="15365" max="15365" width="18.42578125" style="4" customWidth="1"/>
    <col min="15366" max="15366" width="0" style="4" hidden="1" customWidth="1"/>
    <col min="15367" max="15367" width="3" style="4" customWidth="1"/>
    <col min="15368" max="15368" width="10.7109375" style="4" customWidth="1"/>
    <col min="15369" max="15369" width="2.7109375" style="4" customWidth="1"/>
    <col min="15370" max="15370" width="6.7109375" style="4" customWidth="1"/>
    <col min="15371" max="15371" width="3" style="4" customWidth="1"/>
    <col min="15372" max="15372" width="17.7109375" style="4" customWidth="1"/>
    <col min="15373" max="15373" width="10.5703125" style="4" customWidth="1"/>
    <col min="15374" max="15374" width="17.28515625" style="4" bestFit="1" customWidth="1"/>
    <col min="15375" max="15389" width="11.7109375" style="4" customWidth="1"/>
    <col min="15390" max="15616" width="8.7109375" style="4"/>
    <col min="15617" max="15617" width="34.5703125" style="4" customWidth="1"/>
    <col min="15618" max="15618" width="9.85546875" style="4" customWidth="1"/>
    <col min="15619" max="15619" width="8.7109375" style="4"/>
    <col min="15620" max="15620" width="3" style="4" customWidth="1"/>
    <col min="15621" max="15621" width="18.42578125" style="4" customWidth="1"/>
    <col min="15622" max="15622" width="0" style="4" hidden="1" customWidth="1"/>
    <col min="15623" max="15623" width="3" style="4" customWidth="1"/>
    <col min="15624" max="15624" width="10.7109375" style="4" customWidth="1"/>
    <col min="15625" max="15625" width="2.7109375" style="4" customWidth="1"/>
    <col min="15626" max="15626" width="6.7109375" style="4" customWidth="1"/>
    <col min="15627" max="15627" width="3" style="4" customWidth="1"/>
    <col min="15628" max="15628" width="17.7109375" style="4" customWidth="1"/>
    <col min="15629" max="15629" width="10.5703125" style="4" customWidth="1"/>
    <col min="15630" max="15630" width="17.28515625" style="4" bestFit="1" customWidth="1"/>
    <col min="15631" max="15645" width="11.7109375" style="4" customWidth="1"/>
    <col min="15646" max="15872" width="8.7109375" style="4"/>
    <col min="15873" max="15873" width="34.5703125" style="4" customWidth="1"/>
    <col min="15874" max="15874" width="9.85546875" style="4" customWidth="1"/>
    <col min="15875" max="15875" width="8.7109375" style="4"/>
    <col min="15876" max="15876" width="3" style="4" customWidth="1"/>
    <col min="15877" max="15877" width="18.42578125" style="4" customWidth="1"/>
    <col min="15878" max="15878" width="0" style="4" hidden="1" customWidth="1"/>
    <col min="15879" max="15879" width="3" style="4" customWidth="1"/>
    <col min="15880" max="15880" width="10.7109375" style="4" customWidth="1"/>
    <col min="15881" max="15881" width="2.7109375" style="4" customWidth="1"/>
    <col min="15882" max="15882" width="6.7109375" style="4" customWidth="1"/>
    <col min="15883" max="15883" width="3" style="4" customWidth="1"/>
    <col min="15884" max="15884" width="17.7109375" style="4" customWidth="1"/>
    <col min="15885" max="15885" width="10.5703125" style="4" customWidth="1"/>
    <col min="15886" max="15886" width="17.28515625" style="4" bestFit="1" customWidth="1"/>
    <col min="15887" max="15901" width="11.7109375" style="4" customWidth="1"/>
    <col min="15902" max="16128" width="8.7109375" style="4"/>
    <col min="16129" max="16129" width="34.5703125" style="4" customWidth="1"/>
    <col min="16130" max="16130" width="9.85546875" style="4" customWidth="1"/>
    <col min="16131" max="16131" width="8.7109375" style="4"/>
    <col min="16132" max="16132" width="3" style="4" customWidth="1"/>
    <col min="16133" max="16133" width="18.42578125" style="4" customWidth="1"/>
    <col min="16134" max="16134" width="0" style="4" hidden="1" customWidth="1"/>
    <col min="16135" max="16135" width="3" style="4" customWidth="1"/>
    <col min="16136" max="16136" width="10.7109375" style="4" customWidth="1"/>
    <col min="16137" max="16137" width="2.7109375" style="4" customWidth="1"/>
    <col min="16138" max="16138" width="6.7109375" style="4" customWidth="1"/>
    <col min="16139" max="16139" width="3" style="4" customWidth="1"/>
    <col min="16140" max="16140" width="17.7109375" style="4" customWidth="1"/>
    <col min="16141" max="16141" width="10.5703125" style="4" customWidth="1"/>
    <col min="16142" max="16142" width="17.28515625" style="4" bestFit="1" customWidth="1"/>
    <col min="16143" max="16157" width="11.7109375" style="4" customWidth="1"/>
    <col min="16158" max="16384" width="8.7109375" style="4"/>
  </cols>
  <sheetData>
    <row r="1" spans="1:17" ht="45" x14ac:dyDescent="0.6">
      <c r="A1" s="26" t="s">
        <v>21</v>
      </c>
      <c r="L1" s="58"/>
      <c r="N1" s="58"/>
      <c r="P1" s="27"/>
    </row>
    <row r="2" spans="1:17" ht="18" customHeight="1" x14ac:dyDescent="0.6">
      <c r="A2" s="26"/>
      <c r="P2" s="27"/>
    </row>
    <row r="3" spans="1:17" ht="20.100000000000001" customHeight="1" x14ac:dyDescent="0.4">
      <c r="A3" s="28" t="str">
        <f>"Exploitatieberekening "&amp;B12&amp;" jaar voor de productie-installatie van deze aanvraag"</f>
        <v>Exploitatieberekening 20 jaar voor de productie-installatie van deze aanvraag</v>
      </c>
      <c r="N3" s="58"/>
      <c r="O3" s="28"/>
      <c r="P3" s="29"/>
    </row>
    <row r="4" spans="1:17" ht="20.100000000000001" customHeight="1" x14ac:dyDescent="0.3">
      <c r="A4" s="29"/>
      <c r="P4" s="29"/>
    </row>
    <row r="5" spans="1:17" ht="18" x14ac:dyDescent="0.25">
      <c r="A5" s="28" t="s">
        <v>23</v>
      </c>
      <c r="M5" s="152"/>
    </row>
    <row r="6" spans="1:17" x14ac:dyDescent="0.25">
      <c r="A6" s="12" t="s">
        <v>37</v>
      </c>
      <c r="B6" s="432" t="str">
        <f>IF(Financiering_en_projectplan!B7="","",Financiering_en_projectplan!B7)</f>
        <v/>
      </c>
      <c r="C6" s="433"/>
      <c r="D6" s="433"/>
      <c r="E6" s="433"/>
      <c r="F6" s="433"/>
      <c r="G6" s="433"/>
      <c r="H6" s="433"/>
      <c r="I6" s="433"/>
      <c r="J6" s="433"/>
      <c r="K6" s="433"/>
      <c r="L6" s="434"/>
    </row>
    <row r="7" spans="1:17" x14ac:dyDescent="0.25">
      <c r="A7" s="12" t="s">
        <v>50</v>
      </c>
      <c r="B7" s="435" t="str">
        <f>IF(OR(Hulpblad_categorieën_parameters!D25="CO₂-afvang en opslag (CCS) met gasvormig transport, ETS-bedrijf",Hulpblad_categorieën_parameters!D25="CO₂-afvang en opslag (CCS) met vloeibaar transport, ETS-bedrijf"),"ETS-correctie",IF(Productie_en_afzet!A14="Niet van toepassing","Geen ETS-correctie",IF(Hulpblad_overig!B11=1,"ETS-correctie","Geen ETS-correctie")))</f>
        <v>Geen ETS-correctie</v>
      </c>
      <c r="C7" s="379"/>
      <c r="D7" s="379"/>
      <c r="E7" s="379"/>
      <c r="F7" s="379"/>
      <c r="G7" s="379"/>
      <c r="H7" s="379"/>
      <c r="I7" s="379"/>
      <c r="J7" s="379"/>
      <c r="K7" s="379"/>
      <c r="L7" s="436"/>
    </row>
    <row r="8" spans="1:17" x14ac:dyDescent="0.25">
      <c r="A8" s="12" t="s">
        <v>38</v>
      </c>
      <c r="B8" s="435" t="str">
        <f>IF(Productie_en_afzet!B6="","",Productie_en_afzet!B6)</f>
        <v/>
      </c>
      <c r="C8" s="407"/>
      <c r="D8" s="407"/>
      <c r="E8" s="407"/>
      <c r="F8" s="407"/>
      <c r="G8" s="407"/>
      <c r="H8" s="407"/>
      <c r="I8" s="407"/>
      <c r="J8" s="407"/>
      <c r="K8" s="407"/>
      <c r="L8" s="437"/>
    </row>
    <row r="9" spans="1:17" ht="25.5" customHeight="1" x14ac:dyDescent="0.25">
      <c r="A9" s="155" t="s">
        <v>51</v>
      </c>
      <c r="B9" s="438" t="str">
        <f>Productie_en_afzet!B11</f>
        <v>Zon-PV ≥ 15 kWp en &lt; 1 MWp aansluiting &gt; 3*80 A, gebouwgebonden (net = 50%)</v>
      </c>
      <c r="C9" s="439"/>
      <c r="D9" s="439"/>
      <c r="E9" s="439"/>
      <c r="F9" s="439"/>
      <c r="G9" s="439"/>
      <c r="H9" s="439"/>
      <c r="I9" s="439"/>
      <c r="J9" s="439"/>
      <c r="K9" s="439"/>
      <c r="L9" s="440"/>
      <c r="O9" s="12"/>
      <c r="Q9" s="12"/>
    </row>
    <row r="10" spans="1:17" x14ac:dyDescent="0.25">
      <c r="A10" s="12" t="str">
        <f>VLOOKUP(Hulpblad_categorieën_parameters!D75,Hulpblad_categorieën_parameters!A81:AA303,20,FALSE)</f>
        <v>Vermogen productie-installatie (kW)</v>
      </c>
      <c r="B10" s="441">
        <f>Productie_en_afzet!B17</f>
        <v>0</v>
      </c>
      <c r="C10" s="442"/>
      <c r="D10" s="442"/>
      <c r="E10" s="12"/>
      <c r="F10" s="12"/>
      <c r="G10" s="12"/>
      <c r="H10" s="12"/>
      <c r="I10" s="12"/>
      <c r="J10" s="12"/>
      <c r="K10" s="12"/>
      <c r="L10" s="220"/>
      <c r="O10" s="12"/>
      <c r="Q10" s="12"/>
    </row>
    <row r="11" spans="1:17" x14ac:dyDescent="0.25">
      <c r="A11" s="12" t="s">
        <v>52</v>
      </c>
      <c r="B11" s="224">
        <f>VLOOKUP(B9,Hulpblad_categorieën_parameters!A78:AB303,13,FALSE)</f>
        <v>15</v>
      </c>
      <c r="C11" s="4"/>
      <c r="E11" s="8"/>
      <c r="F11" s="8"/>
      <c r="G11" s="8"/>
      <c r="H11" s="7"/>
      <c r="I11" s="223"/>
      <c r="J11" s="223"/>
      <c r="K11" s="223"/>
      <c r="L11" s="225"/>
    </row>
    <row r="12" spans="1:17" x14ac:dyDescent="0.25">
      <c r="A12" s="12" t="s">
        <v>537</v>
      </c>
      <c r="B12" s="156">
        <f>VLOOKUP(B9,Hulpblad_categorieën_parameters!A78:AB303,28,FALSE)</f>
        <v>20</v>
      </c>
      <c r="C12" s="221"/>
      <c r="D12" s="221"/>
      <c r="E12" s="83"/>
      <c r="F12" s="83"/>
      <c r="G12" s="83"/>
      <c r="H12" s="84"/>
      <c r="I12" s="443"/>
      <c r="J12" s="443"/>
      <c r="K12" s="443"/>
      <c r="L12" s="85"/>
    </row>
    <row r="14" spans="1:17" ht="18.75" customHeight="1" x14ac:dyDescent="0.25">
      <c r="A14" s="30"/>
      <c r="C14" s="41"/>
      <c r="D14" s="13"/>
      <c r="E14" s="13"/>
      <c r="F14" s="13"/>
      <c r="G14" s="13"/>
      <c r="H14" s="13"/>
      <c r="I14" s="13"/>
      <c r="J14" s="13"/>
      <c r="K14" s="38"/>
      <c r="L14" s="38"/>
    </row>
    <row r="15" spans="1:17" ht="18" x14ac:dyDescent="0.25">
      <c r="A15" s="28" t="s">
        <v>53</v>
      </c>
    </row>
    <row r="16" spans="1:17" ht="12.75" customHeight="1" x14ac:dyDescent="0.25">
      <c r="A16" s="12" t="s">
        <v>54</v>
      </c>
    </row>
    <row r="17" spans="1:27" ht="12.75" customHeight="1" x14ac:dyDescent="0.25">
      <c r="B17" s="367"/>
      <c r="C17" s="368"/>
      <c r="D17" s="368"/>
      <c r="E17" s="368"/>
      <c r="F17" s="368"/>
      <c r="G17" s="368"/>
      <c r="H17" s="368"/>
      <c r="I17" s="368"/>
      <c r="J17" s="368"/>
      <c r="K17" s="368"/>
      <c r="L17" s="369"/>
      <c r="N17" s="148">
        <v>0</v>
      </c>
      <c r="O17" s="11" t="str">
        <f>IF(AND(OR(Hulpblad_categorieën_parameters!C75=1,Hulpblad_categorieën_parameters!C75=2,Hulpblad_categorieën_parameters!C75=3,Hulpblad_categorieën_parameters!C75=4),Hulpblad_categorieën_parameters!D25="Zon-PV"),"Vermeld indien dakversteviging noodzakelijk is voor de installatie van de zon-PV-installatie ook de kosten voor deze dakversteviging",IF(Hulpblad_categorieën_parameters!D25="Zonthermie (geen daglichtkas)","Vermeld indien u de zonthermie-installatie op een dak plaatst en dakversteviging noodzakelijk is ook de kosten voor deze dakversteviging",IF(Hulpblad_categorieën_parameters!D25="Zon-PVT systeem met warmtepomp","Vermeld indien u de zon-PVT-installatie op een dak plaatst en dakversteviging noodzakelijk is ook de kosten voor deze dakversteviging","")))</f>
        <v>Vermeld indien dakversteviging noodzakelijk is voor de installatie van de zon-PV-installatie ook de kosten voor deze dakversteviging</v>
      </c>
      <c r="P17" s="38"/>
      <c r="Q17" s="38"/>
      <c r="R17" s="38"/>
      <c r="S17" s="38"/>
      <c r="T17" s="38"/>
      <c r="U17" s="38"/>
      <c r="V17" s="38"/>
      <c r="W17" s="38"/>
      <c r="X17" s="38"/>
      <c r="Y17" s="38"/>
      <c r="Z17" s="38"/>
    </row>
    <row r="18" spans="1:27" ht="12.75" customHeight="1" x14ac:dyDescent="0.25">
      <c r="B18" s="356"/>
      <c r="C18" s="357"/>
      <c r="D18" s="357"/>
      <c r="E18" s="357"/>
      <c r="F18" s="357"/>
      <c r="G18" s="357"/>
      <c r="H18" s="357"/>
      <c r="I18" s="357"/>
      <c r="J18" s="357"/>
      <c r="K18" s="357"/>
      <c r="L18" s="358"/>
      <c r="N18" s="149">
        <v>0</v>
      </c>
      <c r="O18" s="38"/>
      <c r="P18" s="38"/>
      <c r="Q18" s="38"/>
      <c r="R18" s="38"/>
      <c r="S18" s="38"/>
      <c r="T18" s="38"/>
      <c r="U18" s="38"/>
      <c r="V18" s="38"/>
      <c r="W18" s="38"/>
      <c r="X18" s="38"/>
      <c r="Y18" s="38"/>
      <c r="Z18" s="38"/>
    </row>
    <row r="19" spans="1:27" ht="12.75" customHeight="1" x14ac:dyDescent="0.25">
      <c r="B19" s="356"/>
      <c r="C19" s="357"/>
      <c r="D19" s="357"/>
      <c r="E19" s="357"/>
      <c r="F19" s="357"/>
      <c r="G19" s="357"/>
      <c r="H19" s="357"/>
      <c r="I19" s="357"/>
      <c r="J19" s="357"/>
      <c r="K19" s="357"/>
      <c r="L19" s="358"/>
      <c r="N19" s="149">
        <v>0</v>
      </c>
      <c r="O19" s="38"/>
      <c r="P19" s="38"/>
      <c r="Q19" s="38"/>
      <c r="R19" s="38"/>
      <c r="S19" s="38"/>
      <c r="T19" s="38"/>
      <c r="U19" s="38"/>
      <c r="V19" s="38"/>
      <c r="W19" s="38"/>
      <c r="X19" s="38"/>
      <c r="Y19" s="38"/>
      <c r="Z19" s="38"/>
    </row>
    <row r="20" spans="1:27" ht="12.75" customHeight="1" x14ac:dyDescent="0.25">
      <c r="B20" s="356"/>
      <c r="C20" s="357"/>
      <c r="D20" s="357"/>
      <c r="E20" s="357"/>
      <c r="F20" s="357"/>
      <c r="G20" s="357"/>
      <c r="H20" s="357"/>
      <c r="I20" s="357"/>
      <c r="J20" s="357"/>
      <c r="K20" s="357"/>
      <c r="L20" s="358"/>
      <c r="N20" s="149">
        <v>0</v>
      </c>
      <c r="O20" s="38"/>
      <c r="P20" s="38"/>
      <c r="Q20" s="16"/>
      <c r="R20" s="38"/>
      <c r="S20" s="38"/>
      <c r="T20" s="38"/>
      <c r="U20" s="38"/>
      <c r="V20" s="38"/>
      <c r="W20" s="38"/>
      <c r="X20" s="38"/>
      <c r="Y20" s="38"/>
      <c r="Z20" s="38"/>
    </row>
    <row r="21" spans="1:27" ht="12.75" customHeight="1" x14ac:dyDescent="0.25">
      <c r="B21" s="356"/>
      <c r="C21" s="357"/>
      <c r="D21" s="357"/>
      <c r="E21" s="357"/>
      <c r="F21" s="357"/>
      <c r="G21" s="357"/>
      <c r="H21" s="357"/>
      <c r="I21" s="357"/>
      <c r="J21" s="357"/>
      <c r="K21" s="357"/>
      <c r="L21" s="358"/>
      <c r="N21" s="149">
        <v>0</v>
      </c>
      <c r="O21" s="11"/>
      <c r="P21" s="38"/>
      <c r="Q21" s="38"/>
      <c r="R21" s="38"/>
      <c r="S21" s="38"/>
      <c r="T21" s="38"/>
      <c r="U21" s="38"/>
      <c r="V21" s="38"/>
      <c r="W21" s="38"/>
      <c r="X21" s="38"/>
      <c r="Y21" s="38"/>
      <c r="Z21" s="38"/>
    </row>
    <row r="22" spans="1:27" ht="12.75" customHeight="1" x14ac:dyDescent="0.25">
      <c r="B22" s="356"/>
      <c r="C22" s="357"/>
      <c r="D22" s="357"/>
      <c r="E22" s="357"/>
      <c r="F22" s="357"/>
      <c r="G22" s="357"/>
      <c r="H22" s="357"/>
      <c r="I22" s="357"/>
      <c r="J22" s="357"/>
      <c r="K22" s="357"/>
      <c r="L22" s="358"/>
      <c r="N22" s="149">
        <v>0</v>
      </c>
      <c r="O22" s="38"/>
      <c r="P22" s="38"/>
      <c r="Q22" s="38"/>
      <c r="R22" s="38"/>
      <c r="S22" s="38"/>
      <c r="T22" s="38"/>
      <c r="U22" s="38"/>
      <c r="V22" s="38"/>
      <c r="W22" s="38"/>
      <c r="X22" s="38"/>
      <c r="Y22" s="38"/>
      <c r="Z22" s="38"/>
    </row>
    <row r="23" spans="1:27" ht="12.75" customHeight="1" x14ac:dyDescent="0.25">
      <c r="B23" s="356"/>
      <c r="C23" s="357"/>
      <c r="D23" s="357"/>
      <c r="E23" s="357"/>
      <c r="F23" s="357"/>
      <c r="G23" s="357"/>
      <c r="H23" s="357"/>
      <c r="I23" s="357"/>
      <c r="J23" s="357"/>
      <c r="K23" s="357"/>
      <c r="L23" s="358"/>
      <c r="N23" s="149">
        <v>0</v>
      </c>
      <c r="O23" s="38"/>
      <c r="P23" s="38"/>
      <c r="Q23" s="38"/>
      <c r="R23" s="38"/>
      <c r="S23" s="38"/>
      <c r="T23" s="38"/>
      <c r="U23" s="38"/>
      <c r="V23" s="38"/>
      <c r="W23" s="38"/>
      <c r="X23" s="38"/>
      <c r="Y23" s="38"/>
      <c r="Z23" s="38"/>
    </row>
    <row r="24" spans="1:27" ht="12.75" customHeight="1" x14ac:dyDescent="0.25">
      <c r="B24" s="356"/>
      <c r="C24" s="357"/>
      <c r="D24" s="357"/>
      <c r="E24" s="357"/>
      <c r="F24" s="357"/>
      <c r="G24" s="357"/>
      <c r="H24" s="357"/>
      <c r="I24" s="357"/>
      <c r="J24" s="357"/>
      <c r="K24" s="357"/>
      <c r="L24" s="358"/>
      <c r="N24" s="149">
        <v>0</v>
      </c>
      <c r="O24" s="38"/>
      <c r="P24" s="38"/>
      <c r="Q24" s="38"/>
      <c r="R24" s="38"/>
      <c r="S24" s="38"/>
      <c r="T24" s="38"/>
      <c r="U24" s="38"/>
      <c r="V24" s="38"/>
      <c r="W24" s="38"/>
      <c r="X24" s="38"/>
      <c r="Y24" s="38"/>
      <c r="Z24" s="38"/>
    </row>
    <row r="25" spans="1:27" ht="12.75" customHeight="1" x14ac:dyDescent="0.25">
      <c r="B25" s="356"/>
      <c r="C25" s="357"/>
      <c r="D25" s="357"/>
      <c r="E25" s="357"/>
      <c r="F25" s="357"/>
      <c r="G25" s="357"/>
      <c r="H25" s="357"/>
      <c r="I25" s="357"/>
      <c r="J25" s="357"/>
      <c r="K25" s="357"/>
      <c r="L25" s="358"/>
      <c r="N25" s="149">
        <v>0</v>
      </c>
      <c r="O25" s="38"/>
      <c r="P25" s="38"/>
      <c r="Q25" s="38"/>
      <c r="R25" s="38"/>
      <c r="S25" s="38"/>
      <c r="T25" s="38"/>
      <c r="U25" s="38"/>
      <c r="V25" s="38"/>
      <c r="W25" s="38"/>
      <c r="X25" s="38"/>
      <c r="Y25" s="38"/>
      <c r="Z25" s="38"/>
    </row>
    <row r="26" spans="1:27" ht="12.75" customHeight="1" x14ac:dyDescent="0.25">
      <c r="A26" s="12"/>
      <c r="B26" s="375"/>
      <c r="C26" s="444"/>
      <c r="D26" s="444"/>
      <c r="E26" s="444"/>
      <c r="F26" s="444"/>
      <c r="G26" s="444"/>
      <c r="H26" s="444"/>
      <c r="I26" s="444"/>
      <c r="J26" s="444"/>
      <c r="K26" s="444"/>
      <c r="L26" s="445"/>
      <c r="N26" s="162">
        <v>0</v>
      </c>
      <c r="O26" s="38"/>
      <c r="P26" s="38"/>
      <c r="Q26" s="38"/>
      <c r="R26" s="38"/>
      <c r="S26" s="38"/>
      <c r="T26" s="38"/>
      <c r="U26" s="38"/>
      <c r="V26" s="38"/>
      <c r="W26" s="38"/>
      <c r="X26" s="38"/>
      <c r="Y26" s="38"/>
      <c r="Z26" s="38"/>
    </row>
    <row r="27" spans="1:27" s="30" customFormat="1" ht="12.75" customHeight="1" x14ac:dyDescent="0.2">
      <c r="A27" s="30" t="s">
        <v>55</v>
      </c>
      <c r="N27" s="42">
        <f>SUM(N17:N26)</f>
        <v>0</v>
      </c>
      <c r="O27" s="43"/>
      <c r="P27" s="43"/>
      <c r="Q27" s="43"/>
      <c r="R27" s="43"/>
      <c r="S27" s="43"/>
      <c r="T27" s="43"/>
      <c r="U27" s="43"/>
      <c r="V27" s="43"/>
      <c r="W27" s="43"/>
      <c r="X27" s="43"/>
      <c r="Y27" s="43"/>
      <c r="Z27" s="43"/>
      <c r="AA27" s="43"/>
    </row>
    <row r="28" spans="1:27" s="30" customFormat="1" ht="12.75" customHeight="1" x14ac:dyDescent="0.2">
      <c r="N28" s="42"/>
      <c r="O28" s="43"/>
      <c r="P28" s="43"/>
      <c r="Q28" s="43"/>
      <c r="R28" s="43"/>
      <c r="S28" s="43"/>
      <c r="T28" s="43"/>
      <c r="U28" s="43"/>
      <c r="V28" s="43"/>
      <c r="W28" s="43"/>
      <c r="X28" s="43"/>
      <c r="Y28" s="43"/>
      <c r="Z28" s="43"/>
      <c r="AA28" s="43"/>
    </row>
    <row r="29" spans="1:27" s="30" customFormat="1" ht="18" x14ac:dyDescent="0.25">
      <c r="A29" s="28" t="s">
        <v>56</v>
      </c>
      <c r="D29" s="4"/>
      <c r="E29" s="4"/>
      <c r="F29" s="4"/>
      <c r="G29" s="4"/>
      <c r="H29" s="4"/>
      <c r="I29" s="4"/>
      <c r="J29" s="4"/>
      <c r="K29" s="4"/>
      <c r="L29" s="4"/>
      <c r="N29" s="42"/>
      <c r="O29" s="43"/>
      <c r="P29" s="43"/>
      <c r="Q29" s="43"/>
      <c r="R29" s="43"/>
      <c r="S29" s="43"/>
      <c r="T29" s="43"/>
      <c r="U29" s="43"/>
      <c r="V29" s="43"/>
      <c r="W29" s="43"/>
      <c r="X29" s="43"/>
      <c r="Y29" s="43"/>
      <c r="Z29" s="43"/>
      <c r="AA29" s="43"/>
    </row>
    <row r="30" spans="1:27" s="30" customFormat="1" ht="12.75" customHeight="1" x14ac:dyDescent="0.25">
      <c r="B30" s="446" t="s">
        <v>57</v>
      </c>
      <c r="C30" s="446"/>
      <c r="D30" s="4"/>
      <c r="E30" s="12" t="s">
        <v>58</v>
      </c>
      <c r="F30" s="4"/>
      <c r="G30" s="4"/>
      <c r="H30" s="446" t="s">
        <v>59</v>
      </c>
      <c r="I30" s="447"/>
      <c r="J30" s="447"/>
      <c r="K30" s="4"/>
      <c r="L30" s="12" t="s">
        <v>60</v>
      </c>
      <c r="N30" s="42"/>
      <c r="O30" s="43"/>
      <c r="P30" s="43"/>
      <c r="Q30" s="43"/>
      <c r="R30" s="43"/>
      <c r="S30" s="43"/>
      <c r="T30" s="43"/>
      <c r="U30" s="43"/>
      <c r="V30" s="43"/>
      <c r="W30" s="43"/>
      <c r="X30" s="43"/>
      <c r="Y30" s="43"/>
      <c r="Z30" s="43"/>
      <c r="AA30" s="43"/>
    </row>
    <row r="31" spans="1:27" s="30" customFormat="1" ht="12.75" customHeight="1" x14ac:dyDescent="0.25">
      <c r="A31" s="12" t="s">
        <v>61</v>
      </c>
      <c r="B31" s="451" t="e">
        <f>IF(Hulpblad_overig!B8=2,Financiering_en_projectplan!E13,Financiering_en_projectplan!G78)</f>
        <v>#DIV/0!</v>
      </c>
      <c r="C31" s="452"/>
      <c r="E31" s="175" t="e">
        <f>N27*B31</f>
        <v>#DIV/0!</v>
      </c>
      <c r="F31" s="4"/>
      <c r="G31" s="4"/>
      <c r="H31" s="451" t="e">
        <f>100%-B31</f>
        <v>#DIV/0!</v>
      </c>
      <c r="I31" s="453"/>
      <c r="J31" s="452"/>
      <c r="L31" s="175" t="e">
        <f>N27*H31</f>
        <v>#DIV/0!</v>
      </c>
      <c r="N31" s="42"/>
      <c r="O31" s="43"/>
      <c r="P31" s="43"/>
      <c r="Q31" s="43"/>
      <c r="R31" s="43"/>
      <c r="S31" s="43"/>
      <c r="T31" s="43"/>
      <c r="U31" s="43"/>
      <c r="V31" s="43"/>
      <c r="W31" s="43"/>
      <c r="X31" s="43"/>
      <c r="Y31" s="43"/>
      <c r="Z31" s="43"/>
      <c r="AA31" s="43"/>
    </row>
    <row r="32" spans="1:27" s="30" customFormat="1" ht="12.75" customHeight="1" x14ac:dyDescent="0.25">
      <c r="A32" s="12"/>
      <c r="D32" s="4"/>
      <c r="F32" s="4"/>
      <c r="G32" s="4"/>
      <c r="H32" s="4"/>
      <c r="I32" s="4"/>
      <c r="J32" s="4"/>
      <c r="K32" s="4"/>
      <c r="N32" s="42"/>
      <c r="O32" s="43"/>
      <c r="P32" s="43"/>
      <c r="Q32" s="43"/>
      <c r="R32" s="43"/>
      <c r="S32" s="43"/>
      <c r="T32" s="43"/>
      <c r="U32" s="43"/>
      <c r="V32" s="43"/>
      <c r="W32" s="43"/>
      <c r="X32" s="43"/>
      <c r="Y32" s="43"/>
      <c r="Z32" s="43"/>
      <c r="AA32" s="43"/>
    </row>
    <row r="33" spans="1:34" s="30" customFormat="1" ht="12.75" customHeight="1" x14ac:dyDescent="0.25">
      <c r="A33" s="12" t="s">
        <v>62</v>
      </c>
      <c r="B33" s="454" t="s">
        <v>63</v>
      </c>
      <c r="C33" s="454"/>
      <c r="D33" s="4"/>
      <c r="E33" s="12" t="s">
        <v>64</v>
      </c>
      <c r="F33" s="4"/>
      <c r="G33" s="4"/>
      <c r="H33" s="407" t="s">
        <v>65</v>
      </c>
      <c r="I33" s="379"/>
      <c r="J33" s="379"/>
      <c r="K33" s="4"/>
      <c r="L33" s="12" t="s">
        <v>66</v>
      </c>
      <c r="N33" s="42"/>
      <c r="O33" s="43"/>
      <c r="P33" s="43"/>
      <c r="Q33" s="43"/>
      <c r="R33" s="43"/>
      <c r="S33" s="43"/>
      <c r="T33" s="43"/>
      <c r="U33" s="43"/>
      <c r="V33" s="43"/>
      <c r="W33" s="43"/>
      <c r="X33" s="43"/>
      <c r="Y33" s="43"/>
      <c r="Z33" s="43"/>
      <c r="AA33" s="43"/>
    </row>
    <row r="34" spans="1:34" s="30" customFormat="1" ht="12.75" customHeight="1" x14ac:dyDescent="0.25">
      <c r="A34" s="12" t="str">
        <f>"Gegevens lening (maximaal "&amp;B12&amp;" jaar)"</f>
        <v>Gegevens lening (maximaal 20 jaar)</v>
      </c>
      <c r="B34" s="455" t="e">
        <f>L31</f>
        <v>#DIV/0!</v>
      </c>
      <c r="C34" s="452"/>
      <c r="D34" s="4"/>
      <c r="E34" s="191">
        <v>0</v>
      </c>
      <c r="F34" s="4"/>
      <c r="G34" s="4"/>
      <c r="H34" s="456"/>
      <c r="I34" s="379"/>
      <c r="J34" s="379"/>
      <c r="K34" s="4"/>
      <c r="L34" s="180">
        <v>0</v>
      </c>
      <c r="N34" s="42"/>
      <c r="O34" s="43"/>
      <c r="P34" s="43"/>
      <c r="Q34" s="43"/>
      <c r="R34" s="43"/>
      <c r="S34" s="43"/>
      <c r="T34" s="43"/>
      <c r="U34" s="43"/>
      <c r="V34" s="43"/>
      <c r="W34" s="43"/>
      <c r="X34" s="43"/>
      <c r="Y34" s="43"/>
      <c r="Z34" s="43"/>
      <c r="AA34" s="43"/>
    </row>
    <row r="35" spans="1:34" s="30" customFormat="1" ht="12.75" customHeight="1" x14ac:dyDescent="0.25">
      <c r="A35" s="40"/>
      <c r="D35" s="4"/>
      <c r="E35" s="4"/>
      <c r="F35" s="4"/>
      <c r="G35" s="4"/>
      <c r="H35" s="40"/>
      <c r="I35" s="4"/>
      <c r="J35" s="4"/>
      <c r="K35" s="4"/>
      <c r="N35" s="42"/>
      <c r="O35" s="43"/>
      <c r="P35" s="43"/>
      <c r="Q35" s="43"/>
      <c r="R35" s="43"/>
      <c r="S35" s="43"/>
      <c r="T35" s="43"/>
      <c r="U35" s="43"/>
      <c r="V35" s="43"/>
      <c r="W35" s="43"/>
      <c r="X35" s="43"/>
      <c r="Y35" s="43"/>
      <c r="Z35" s="43"/>
      <c r="AA35" s="43"/>
    </row>
    <row r="36" spans="1:34" ht="12.75" customHeight="1" x14ac:dyDescent="0.25">
      <c r="A36" s="30" t="s">
        <v>67</v>
      </c>
      <c r="D36" s="30"/>
      <c r="E36" s="30"/>
      <c r="F36" s="30"/>
      <c r="G36" s="30"/>
      <c r="H36" s="30"/>
      <c r="I36" s="30"/>
      <c r="J36" s="30"/>
      <c r="K36" s="30"/>
      <c r="L36" s="30"/>
      <c r="M36" s="30"/>
      <c r="N36" s="30">
        <v>0</v>
      </c>
      <c r="O36" s="30">
        <v>1</v>
      </c>
      <c r="P36" s="30">
        <v>2</v>
      </c>
      <c r="Q36" s="30">
        <v>3</v>
      </c>
      <c r="R36" s="30">
        <v>4</v>
      </c>
      <c r="S36" s="30">
        <v>5</v>
      </c>
      <c r="T36" s="30">
        <v>6</v>
      </c>
      <c r="U36" s="30">
        <v>7</v>
      </c>
      <c r="V36" s="30">
        <v>8</v>
      </c>
      <c r="W36" s="30">
        <f>IF($B$12&gt;8,9,"")</f>
        <v>9</v>
      </c>
      <c r="X36" s="30">
        <f>IF($B$12&gt;9,10,"")</f>
        <v>10</v>
      </c>
      <c r="Y36" s="30">
        <f>IF($B$12&gt;10,11,"")</f>
        <v>11</v>
      </c>
      <c r="Z36" s="30">
        <f>IF($B$12&gt;11,12,"")</f>
        <v>12</v>
      </c>
      <c r="AA36" s="30">
        <f>IF($B$12&gt;12,13,"")</f>
        <v>13</v>
      </c>
      <c r="AB36" s="30">
        <f>IF($B$12&gt;13,14,"")</f>
        <v>14</v>
      </c>
      <c r="AC36" s="30">
        <f>IF($B$12&gt;14,15,"")</f>
        <v>15</v>
      </c>
      <c r="AD36" s="30">
        <f>IF($B$12&gt;15,16,"")</f>
        <v>16</v>
      </c>
      <c r="AE36" s="30">
        <f>IF($B$12&gt;16,17,"")</f>
        <v>17</v>
      </c>
      <c r="AF36" s="30">
        <f>IF($B$12&gt;17,18,"")</f>
        <v>18</v>
      </c>
      <c r="AG36" s="30">
        <f>IF($B$12&gt;18,19,"")</f>
        <v>19</v>
      </c>
      <c r="AH36" s="30">
        <f>IF($B$12&gt;19,20,"")</f>
        <v>20</v>
      </c>
    </row>
    <row r="37" spans="1:34" ht="12.75" customHeight="1" x14ac:dyDescent="0.25">
      <c r="M37" s="163"/>
      <c r="N37" s="166"/>
      <c r="O37" s="167"/>
      <c r="P37" s="167"/>
      <c r="Q37" s="167"/>
      <c r="R37" s="167"/>
      <c r="S37" s="167"/>
      <c r="T37" s="167"/>
      <c r="U37" s="167"/>
      <c r="V37" s="167"/>
      <c r="W37" s="86"/>
      <c r="X37" s="86"/>
      <c r="Y37" s="86"/>
      <c r="Z37" s="86"/>
      <c r="AA37" s="163"/>
      <c r="AB37" s="163"/>
      <c r="AC37" s="163"/>
    </row>
    <row r="38" spans="1:34" ht="18" x14ac:dyDescent="0.25">
      <c r="A38" s="28" t="s">
        <v>68</v>
      </c>
      <c r="L38" s="462" t="s">
        <v>69</v>
      </c>
      <c r="M38" s="163"/>
      <c r="N38" s="163"/>
      <c r="O38" s="167"/>
      <c r="P38" s="167"/>
      <c r="Q38" s="167"/>
      <c r="R38" s="167"/>
      <c r="S38" s="167"/>
      <c r="T38" s="167"/>
      <c r="U38" s="167"/>
      <c r="V38" s="167"/>
      <c r="W38" s="86"/>
      <c r="X38" s="86"/>
      <c r="Y38" s="86"/>
      <c r="Z38" s="86"/>
      <c r="AA38" s="163"/>
      <c r="AB38" s="163"/>
      <c r="AC38" s="163"/>
    </row>
    <row r="39" spans="1:34" s="163" customFormat="1" ht="12.75" customHeight="1" x14ac:dyDescent="0.2">
      <c r="A39" s="30" t="s">
        <v>70</v>
      </c>
      <c r="B39" s="30"/>
      <c r="C39" s="30"/>
      <c r="E39" s="407" t="str">
        <f>"Jaarproductie ("&amp;VLOOKUP(Hulpblad_categorieën_parameters!D75,Hulpblad_categorieën_parameters!A81:Z303,26,FALSE)&amp;")"</f>
        <v>Jaarproductie (kWh)</v>
      </c>
      <c r="F39" s="464"/>
      <c r="G39" s="464"/>
      <c r="H39" s="465" t="str">
        <f>IF(E39="Jaarproductie (ton CO₂)","Marktwaarde (€/ton CO₂)","Marktwaarde (€/kWh)")</f>
        <v>Marktwaarde (€/kWh)</v>
      </c>
      <c r="I39" s="466"/>
      <c r="J39" s="466"/>
      <c r="K39" s="464"/>
      <c r="L39" s="463"/>
      <c r="O39" s="167"/>
      <c r="P39" s="167"/>
      <c r="Q39" s="167"/>
      <c r="R39" s="167"/>
      <c r="S39" s="167"/>
      <c r="T39" s="167"/>
      <c r="U39" s="167"/>
      <c r="V39" s="167"/>
      <c r="W39" s="86"/>
      <c r="X39" s="86"/>
      <c r="Y39" s="86"/>
      <c r="Z39" s="86"/>
    </row>
    <row r="40" spans="1:34" s="163" customFormat="1" ht="12.75" customHeight="1" x14ac:dyDescent="0.2">
      <c r="A40" s="12" t="str">
        <f>IF(VLOOKUP(Hulpblad_categorieën_parameters!D75,Hulpblad_categorieën_parameters!A81:T303,18,FALSE)="Productie elektriciteit (kWh/jaar)","Hernieuwbare elektriciteit niet-netlevering (eigen gebruik)","Niet van toepassing")</f>
        <v>Hernieuwbare elektriciteit niet-netlevering (eigen gebruik)</v>
      </c>
      <c r="B40" s="30"/>
      <c r="C40" s="30"/>
      <c r="E40" s="234">
        <v>0</v>
      </c>
      <c r="H40" s="467">
        <v>0</v>
      </c>
      <c r="I40" s="468"/>
      <c r="J40" s="469"/>
      <c r="L40" s="470">
        <v>0.02</v>
      </c>
      <c r="M40" s="12"/>
      <c r="O40" s="166">
        <f>E40*H40</f>
        <v>0</v>
      </c>
      <c r="P40" s="166">
        <f>O40*(1+$L$40)</f>
        <v>0</v>
      </c>
      <c r="Q40" s="166">
        <f t="shared" ref="Q40:V40" si="0">P40*(1+$L$40)</f>
        <v>0</v>
      </c>
      <c r="R40" s="166">
        <f t="shared" si="0"/>
        <v>0</v>
      </c>
      <c r="S40" s="166">
        <f t="shared" si="0"/>
        <v>0</v>
      </c>
      <c r="T40" s="166">
        <f t="shared" si="0"/>
        <v>0</v>
      </c>
      <c r="U40" s="166">
        <f t="shared" si="0"/>
        <v>0</v>
      </c>
      <c r="V40" s="166">
        <f t="shared" si="0"/>
        <v>0</v>
      </c>
      <c r="W40" s="57">
        <f>IF($B$12&gt;8,V40*(1+$L$40),"")</f>
        <v>0</v>
      </c>
      <c r="X40" s="57">
        <f>IF($B$12&gt;9,W40*(1+$L$40),"")</f>
        <v>0</v>
      </c>
      <c r="Y40" s="57">
        <f>IF($B$12&gt;10,X40*(1+$L$40),"")</f>
        <v>0</v>
      </c>
      <c r="Z40" s="57">
        <f>IF($B$12&gt;11,Y40*(1+$L$40),"")</f>
        <v>0</v>
      </c>
      <c r="AA40" s="57">
        <f>IF($B$12&gt;12,Z40*(1+$L$40),"")</f>
        <v>0</v>
      </c>
      <c r="AB40" s="57">
        <f>IF($B$12&gt;13,AA40*(1+$L$40),"")</f>
        <v>0</v>
      </c>
      <c r="AC40" s="57">
        <f>IF($B$12&gt;14,AB40*(1+$L$40),"")</f>
        <v>0</v>
      </c>
      <c r="AD40" s="57">
        <f>IF($B$12&gt;15,AC40*(1+$L$40)*95%,"")</f>
        <v>0</v>
      </c>
      <c r="AE40" s="57">
        <f>IF($B$12&gt;16,AD40*(1+$L$40),"")</f>
        <v>0</v>
      </c>
      <c r="AF40" s="57">
        <f>IF($B$12&gt;17,AE40*(1+$L$40),"")</f>
        <v>0</v>
      </c>
      <c r="AG40" s="57">
        <f>IF($B$12&gt;18,AF40*(1+$L$40),"")</f>
        <v>0</v>
      </c>
      <c r="AH40" s="57">
        <f>IF($B$12&gt;19,AG40*(1+$L$40),"")</f>
        <v>0</v>
      </c>
    </row>
    <row r="41" spans="1:34" s="163" customFormat="1" ht="12.75" customHeight="1" x14ac:dyDescent="0.2">
      <c r="A41" s="12" t="str">
        <f>IF(VLOOKUP(Hulpblad_categorieën_parameters!D75,Hulpblad_categorieën_parameters!A81:T303,18,FALSE)="Productie elektriciteit (kWh/jaar)","Niet subsidiabele netlevering tijdens negatieve prijsuren EPEX","Niet van toepassing")</f>
        <v>Niet subsidiabele netlevering tijdens negatieve prijsuren EPEX</v>
      </c>
      <c r="B41" s="30"/>
      <c r="C41" s="30"/>
      <c r="E41" s="355">
        <v>0</v>
      </c>
      <c r="H41" s="457">
        <v>0</v>
      </c>
      <c r="I41" s="458"/>
      <c r="J41" s="459"/>
      <c r="L41" s="471"/>
      <c r="M41" s="12"/>
      <c r="O41" s="166">
        <f>E41*H41</f>
        <v>0</v>
      </c>
      <c r="P41" s="166">
        <f t="shared" ref="P41:P43" si="1">O41*(1+$L$40)</f>
        <v>0</v>
      </c>
      <c r="Q41" s="166">
        <f t="shared" ref="Q41:Q43" si="2">P41*(1+$L$40)</f>
        <v>0</v>
      </c>
      <c r="R41" s="166">
        <f t="shared" ref="R41:R43" si="3">Q41*(1+$L$40)</f>
        <v>0</v>
      </c>
      <c r="S41" s="166">
        <f t="shared" ref="S41:S43" si="4">R41*(1+$L$40)</f>
        <v>0</v>
      </c>
      <c r="T41" s="166">
        <f t="shared" ref="T41:T43" si="5">S41*(1+$L$40)</f>
        <v>0</v>
      </c>
      <c r="U41" s="166">
        <f t="shared" ref="U41:U43" si="6">T41*(1+$L$40)</f>
        <v>0</v>
      </c>
      <c r="V41" s="166">
        <f t="shared" ref="V41:V43" si="7">U41*(1+$L$40)</f>
        <v>0</v>
      </c>
      <c r="W41" s="57">
        <f t="shared" ref="W41:W43" si="8">IF($B$12&gt;8,V41*(1+$L$40),"")</f>
        <v>0</v>
      </c>
      <c r="X41" s="57">
        <f t="shared" ref="X41:X43" si="9">IF($B$12&gt;9,W41*(1+$L$40),"")</f>
        <v>0</v>
      </c>
      <c r="Y41" s="57">
        <f t="shared" ref="Y41:Y43" si="10">IF($B$12&gt;10,X41*(1+$L$40),"")</f>
        <v>0</v>
      </c>
      <c r="Z41" s="57">
        <f t="shared" ref="Z41:Z43" si="11">IF($B$12&gt;11,Y41*(1+$L$40),"")</f>
        <v>0</v>
      </c>
      <c r="AA41" s="57">
        <f t="shared" ref="AA41:AA43" si="12">IF($B$12&gt;12,Z41*(1+$L$40),"")</f>
        <v>0</v>
      </c>
      <c r="AB41" s="57">
        <f t="shared" ref="AB41:AB43" si="13">IF($B$12&gt;13,AA41*(1+$L$40),"")</f>
        <v>0</v>
      </c>
      <c r="AC41" s="57">
        <f t="shared" ref="AC41:AC43" si="14">IF($B$12&gt;14,AB41*(1+$L$40),"")</f>
        <v>0</v>
      </c>
      <c r="AD41" s="57">
        <f t="shared" ref="AD41:AD43" si="15">IF($B$12&gt;15,AC41*(1+$L$40)*95%,"")</f>
        <v>0</v>
      </c>
      <c r="AE41" s="57">
        <f t="shared" ref="AE41:AE43" si="16">IF($B$12&gt;16,AD41*(1+$L$40),"")</f>
        <v>0</v>
      </c>
      <c r="AF41" s="57">
        <f t="shared" ref="AF41:AF43" si="17">IF($B$12&gt;17,AE41*(1+$L$40),"")</f>
        <v>0</v>
      </c>
      <c r="AG41" s="57">
        <f t="shared" ref="AG41:AG43" si="18">IF($B$12&gt;18,AF41*(1+$L$40),"")</f>
        <v>0</v>
      </c>
      <c r="AH41" s="57">
        <f t="shared" ref="AH41:AH43" si="19">IF($B$12&gt;19,AG41*(1+$L$40),"")</f>
        <v>0</v>
      </c>
    </row>
    <row r="42" spans="1:34" s="163" customFormat="1" ht="12.75" customHeight="1" x14ac:dyDescent="0.25">
      <c r="A42" s="50" t="str">
        <f>IF(VLOOKUP(Hulpblad_categorieën_parameters!D75,Hulpblad_categorieën_parameters!A81:T303,18,FALSE)="Productie elektriciteit (kWh/jaar)","Gemiste productie tijdens uitzetten installatie neg. prijsuren EPEX","Niet van toepassing")</f>
        <v>Gemiste productie tijdens uitzetten installatie neg. prijsuren EPEX</v>
      </c>
      <c r="B42" s="30"/>
      <c r="C42" s="30"/>
      <c r="E42" s="355">
        <v>0</v>
      </c>
      <c r="H42" s="457">
        <v>0</v>
      </c>
      <c r="I42" s="460"/>
      <c r="J42" s="461"/>
      <c r="L42" s="471"/>
      <c r="M42" s="12"/>
      <c r="O42" s="166">
        <f>E42*H42</f>
        <v>0</v>
      </c>
      <c r="P42" s="166">
        <f t="shared" si="1"/>
        <v>0</v>
      </c>
      <c r="Q42" s="166">
        <f t="shared" si="2"/>
        <v>0</v>
      </c>
      <c r="R42" s="166">
        <f t="shared" si="3"/>
        <v>0</v>
      </c>
      <c r="S42" s="166">
        <f t="shared" si="4"/>
        <v>0</v>
      </c>
      <c r="T42" s="166">
        <f t="shared" si="5"/>
        <v>0</v>
      </c>
      <c r="U42" s="166">
        <f t="shared" si="6"/>
        <v>0</v>
      </c>
      <c r="V42" s="166">
        <f t="shared" si="7"/>
        <v>0</v>
      </c>
      <c r="W42" s="57">
        <f t="shared" si="8"/>
        <v>0</v>
      </c>
      <c r="X42" s="57">
        <f t="shared" si="9"/>
        <v>0</v>
      </c>
      <c r="Y42" s="57">
        <f t="shared" si="10"/>
        <v>0</v>
      </c>
      <c r="Z42" s="57">
        <f t="shared" si="11"/>
        <v>0</v>
      </c>
      <c r="AA42" s="57">
        <f t="shared" si="12"/>
        <v>0</v>
      </c>
      <c r="AB42" s="57">
        <f t="shared" si="13"/>
        <v>0</v>
      </c>
      <c r="AC42" s="57">
        <f t="shared" si="14"/>
        <v>0</v>
      </c>
      <c r="AD42" s="57">
        <f t="shared" si="15"/>
        <v>0</v>
      </c>
      <c r="AE42" s="57">
        <f t="shared" si="16"/>
        <v>0</v>
      </c>
      <c r="AF42" s="57">
        <f t="shared" si="17"/>
        <v>0</v>
      </c>
      <c r="AG42" s="57">
        <f t="shared" si="18"/>
        <v>0</v>
      </c>
      <c r="AH42" s="57">
        <f t="shared" si="19"/>
        <v>0</v>
      </c>
    </row>
    <row r="43" spans="1:34" s="163" customFormat="1" ht="12.75" customHeight="1" x14ac:dyDescent="0.2">
      <c r="A43" s="12" t="str">
        <f>IF(VLOOKUP(Hulpblad_categorieën_parameters!D75,Hulpblad_categorieën_parameters!A81:T303,18,FALSE)="Productie elektriciteit (kWh/jaar)","Hernieuwbare elektriciteit subsidiabele netlevering","Niet van toepassing")</f>
        <v>Hernieuwbare elektriciteit subsidiabele netlevering</v>
      </c>
      <c r="B43" s="30"/>
      <c r="C43" s="30"/>
      <c r="E43" s="164">
        <f>IF(VLOOKUP(Hulpblad_categorieën_parameters!D75,Hulpblad_categorieën_parameters!A81:T303,18,FALSE)="Productie elektriciteit (kWh/jaar)",Productie_en_afzet!B18-E40-E41-E42,0)</f>
        <v>0</v>
      </c>
      <c r="H43" s="457">
        <v>0</v>
      </c>
      <c r="I43" s="458"/>
      <c r="J43" s="459"/>
      <c r="L43" s="471"/>
      <c r="M43" s="12"/>
      <c r="O43" s="166">
        <f>E43*H43</f>
        <v>0</v>
      </c>
      <c r="P43" s="166">
        <f t="shared" si="1"/>
        <v>0</v>
      </c>
      <c r="Q43" s="166">
        <f t="shared" si="2"/>
        <v>0</v>
      </c>
      <c r="R43" s="166">
        <f t="shared" si="3"/>
        <v>0</v>
      </c>
      <c r="S43" s="166">
        <f t="shared" si="4"/>
        <v>0</v>
      </c>
      <c r="T43" s="166">
        <f t="shared" si="5"/>
        <v>0</v>
      </c>
      <c r="U43" s="166">
        <f t="shared" si="6"/>
        <v>0</v>
      </c>
      <c r="V43" s="166">
        <f t="shared" si="7"/>
        <v>0</v>
      </c>
      <c r="W43" s="57">
        <f t="shared" si="8"/>
        <v>0</v>
      </c>
      <c r="X43" s="57">
        <f t="shared" si="9"/>
        <v>0</v>
      </c>
      <c r="Y43" s="57">
        <f t="shared" si="10"/>
        <v>0</v>
      </c>
      <c r="Z43" s="57">
        <f t="shared" si="11"/>
        <v>0</v>
      </c>
      <c r="AA43" s="57">
        <f t="shared" si="12"/>
        <v>0</v>
      </c>
      <c r="AB43" s="57">
        <f t="shared" si="13"/>
        <v>0</v>
      </c>
      <c r="AC43" s="57">
        <f t="shared" si="14"/>
        <v>0</v>
      </c>
      <c r="AD43" s="57">
        <f t="shared" si="15"/>
        <v>0</v>
      </c>
      <c r="AE43" s="57">
        <f t="shared" si="16"/>
        <v>0</v>
      </c>
      <c r="AF43" s="57">
        <f t="shared" si="17"/>
        <v>0</v>
      </c>
      <c r="AG43" s="57">
        <f t="shared" si="18"/>
        <v>0</v>
      </c>
      <c r="AH43" s="57">
        <f t="shared" si="19"/>
        <v>0</v>
      </c>
    </row>
    <row r="44" spans="1:34" s="163" customFormat="1" ht="12.75" customHeight="1" x14ac:dyDescent="0.2">
      <c r="A44" s="12" t="str">
        <f>IF(VLOOKUP(Hulpblad_categorieën_parameters!D75,Hulpblad_categorieën_parameters!A81:T303,19,FALSE)="Productie warmte (kWh/jaar)",Productie_en_afzet!A19,IF(VLOOKUP(Hulpblad_categorieën_parameters!D75,Hulpblad_categorieën_parameters!A81:T303,18,FALSE)="Productie elektriciteit (kWh/jaar)","Niet van toepassing",Productie_en_afzet!A18))</f>
        <v>Niet van toepassing</v>
      </c>
      <c r="B44" s="30"/>
      <c r="C44" s="30"/>
      <c r="E44" s="165">
        <f>IF(VLOOKUP(Hulpblad_categorieën_parameters!D75,Hulpblad_categorieën_parameters!A81:T303,19,FALSE)="Productie warmte (kWh/jaar)",Productie_en_afzet!B19,IF(VLOOKUP(Hulpblad_categorieën_parameters!D75,Hulpblad_categorieën_parameters!A81:T303,18,FALSE)="Productie elektriciteit (kWh/jaar)",0,Productie_en_afzet!B20))</f>
        <v>0</v>
      </c>
      <c r="H44" s="448">
        <v>0</v>
      </c>
      <c r="I44" s="449"/>
      <c r="J44" s="450"/>
      <c r="L44" s="192">
        <v>0.02</v>
      </c>
      <c r="M44" s="12"/>
      <c r="O44" s="166">
        <f>E44*H44</f>
        <v>0</v>
      </c>
      <c r="P44" s="166">
        <f t="shared" ref="P44:V44" si="20">O44*(1+$L$44)</f>
        <v>0</v>
      </c>
      <c r="Q44" s="166">
        <f t="shared" si="20"/>
        <v>0</v>
      </c>
      <c r="R44" s="166">
        <f t="shared" si="20"/>
        <v>0</v>
      </c>
      <c r="S44" s="166">
        <f t="shared" si="20"/>
        <v>0</v>
      </c>
      <c r="T44" s="166">
        <f t="shared" si="20"/>
        <v>0</v>
      </c>
      <c r="U44" s="166">
        <f t="shared" si="20"/>
        <v>0</v>
      </c>
      <c r="V44" s="166">
        <f t="shared" si="20"/>
        <v>0</v>
      </c>
      <c r="W44" s="57">
        <f>IF($B$12&gt;8,V44*(1+$L$44),"")</f>
        <v>0</v>
      </c>
      <c r="X44" s="57">
        <f>IF($B$12&gt;9,W44*(1+$L$44),"")</f>
        <v>0</v>
      </c>
      <c r="Y44" s="57">
        <f>IF($B$12&gt;10,X44*(1+$L$44),"")</f>
        <v>0</v>
      </c>
      <c r="Z44" s="57">
        <f>IF($B$12&gt;11,Y44*(1+$L$44),"")</f>
        <v>0</v>
      </c>
      <c r="AA44" s="57">
        <f>IF($B$12&gt;12,Z44*(1+$L$44),"")</f>
        <v>0</v>
      </c>
      <c r="AB44" s="57">
        <f>IF($B$12&gt;13,AA44*(1+$L$44),"")</f>
        <v>0</v>
      </c>
      <c r="AC44" s="57">
        <f>IF($B$12&gt;14,AB44*(1+$L$44),"")</f>
        <v>0</v>
      </c>
      <c r="AD44" s="57">
        <f>IF($B$12&gt;15,AC44*(1+$L$44),"")</f>
        <v>0</v>
      </c>
      <c r="AE44" s="57">
        <f>IF($B$12&gt;16,AD44*(1+$L$44),"")</f>
        <v>0</v>
      </c>
      <c r="AF44" s="57">
        <f>IF($B$12&gt;17,AE44*(1+$L$44),"")</f>
        <v>0</v>
      </c>
      <c r="AG44" s="57">
        <f>IF($B$12&gt;18,AF44*(1+$L$44),"")</f>
        <v>0</v>
      </c>
      <c r="AH44" s="57">
        <f>IF($B$12&gt;19,AG44*(1+$L$44),"")</f>
        <v>0</v>
      </c>
    </row>
    <row r="45" spans="1:34" s="163" customFormat="1" ht="12.75" customHeight="1" x14ac:dyDescent="0.2">
      <c r="A45" s="30" t="s">
        <v>493</v>
      </c>
      <c r="B45" s="30"/>
      <c r="C45" s="30"/>
      <c r="L45" s="174"/>
      <c r="O45" s="42">
        <f t="shared" ref="O45:V45" si="21">SUM(O40:O44)</f>
        <v>0</v>
      </c>
      <c r="P45" s="42">
        <f t="shared" si="21"/>
        <v>0</v>
      </c>
      <c r="Q45" s="42">
        <f t="shared" si="21"/>
        <v>0</v>
      </c>
      <c r="R45" s="42">
        <f t="shared" si="21"/>
        <v>0</v>
      </c>
      <c r="S45" s="42">
        <f t="shared" si="21"/>
        <v>0</v>
      </c>
      <c r="T45" s="42">
        <f t="shared" si="21"/>
        <v>0</v>
      </c>
      <c r="U45" s="42">
        <f t="shared" si="21"/>
        <v>0</v>
      </c>
      <c r="V45" s="42">
        <f t="shared" si="21"/>
        <v>0</v>
      </c>
      <c r="W45" s="42">
        <f>IF($B$12&gt;8,SUM(W40:W44),"")</f>
        <v>0</v>
      </c>
      <c r="X45" s="42">
        <f>IF($B$12&gt;9,SUM(X40:X44),"")</f>
        <v>0</v>
      </c>
      <c r="Y45" s="42">
        <f>IF($B$12&gt;10,SUM(Y40:Y44),"")</f>
        <v>0</v>
      </c>
      <c r="Z45" s="42">
        <f>IF($B$12&gt;11,SUM(Z40:Z44),"")</f>
        <v>0</v>
      </c>
      <c r="AA45" s="42">
        <f>IF($B$12&gt;12,SUM(AA40:AA44),"")</f>
        <v>0</v>
      </c>
      <c r="AB45" s="42">
        <f>IF($B$12&gt;13,SUM(AB40:AB44),"")</f>
        <v>0</v>
      </c>
      <c r="AC45" s="42">
        <f>IF($B$12&gt;14,SUM(AC40:AC44),"")</f>
        <v>0</v>
      </c>
      <c r="AD45" s="42">
        <f>IF($B$12&gt;15,SUM(AD40:AD44),"")</f>
        <v>0</v>
      </c>
      <c r="AE45" s="42">
        <f>IF($B$12&gt;16,SUM(AE40:AE44),"")</f>
        <v>0</v>
      </c>
      <c r="AF45" s="42">
        <f>IF($B$12&gt;17,SUM(AF40:AF44),"")</f>
        <v>0</v>
      </c>
      <c r="AG45" s="42">
        <f>IF($B$12&gt;18,SUM(AG40:AG44),"")</f>
        <v>0</v>
      </c>
      <c r="AH45" s="42">
        <f>IF($B$12&gt;19,SUM(AH40:AH44),"")</f>
        <v>0</v>
      </c>
    </row>
    <row r="46" spans="1:34" s="163" customFormat="1" ht="12.75" customHeight="1" x14ac:dyDescent="0.2">
      <c r="A46" s="30"/>
      <c r="B46" s="30"/>
      <c r="C46" s="30"/>
      <c r="L46" s="174"/>
      <c r="O46" s="42"/>
      <c r="P46" s="42"/>
      <c r="Q46" s="42"/>
      <c r="R46" s="42"/>
      <c r="S46" s="42"/>
      <c r="T46" s="42"/>
      <c r="U46" s="42"/>
      <c r="V46" s="42"/>
      <c r="W46" s="42"/>
      <c r="X46" s="42"/>
      <c r="Y46" s="42"/>
      <c r="Z46" s="42"/>
      <c r="AA46" s="42"/>
      <c r="AB46" s="42"/>
      <c r="AC46" s="42"/>
      <c r="AD46" s="42"/>
      <c r="AE46" s="42"/>
      <c r="AF46" s="42"/>
      <c r="AG46" s="42"/>
      <c r="AH46" s="42"/>
    </row>
    <row r="47" spans="1:34" s="163" customFormat="1" ht="12.75" customHeight="1" x14ac:dyDescent="0.2">
      <c r="A47" s="30"/>
      <c r="B47" s="30"/>
      <c r="C47" s="30"/>
      <c r="L47" s="472" t="s">
        <v>71</v>
      </c>
      <c r="O47" s="42"/>
      <c r="P47" s="42"/>
      <c r="Q47" s="42"/>
      <c r="R47" s="42"/>
      <c r="S47" s="42"/>
      <c r="T47" s="42"/>
      <c r="U47" s="42"/>
      <c r="V47" s="42"/>
      <c r="W47" s="42"/>
      <c r="X47" s="42"/>
      <c r="Y47" s="42"/>
      <c r="Z47" s="42"/>
      <c r="AA47" s="42"/>
      <c r="AB47" s="42"/>
      <c r="AC47" s="42"/>
      <c r="AD47" s="42"/>
      <c r="AE47" s="42"/>
      <c r="AF47" s="42"/>
      <c r="AG47" s="42"/>
      <c r="AH47" s="42"/>
    </row>
    <row r="48" spans="1:34" s="163" customFormat="1" ht="12.75" customHeight="1" x14ac:dyDescent="0.2">
      <c r="A48" s="30" t="s">
        <v>72</v>
      </c>
      <c r="B48" s="30"/>
      <c r="C48" s="30"/>
      <c r="E48" s="163" t="str">
        <f>"Jaarproductie ("&amp;VLOOKUP(Hulpblad_categorieën_parameters!D75,Hulpblad_categorieën_parameters!A81:Z303,26,FALSE)&amp;")"</f>
        <v>Jaarproductie (kWh)</v>
      </c>
      <c r="H48" s="474" t="str">
        <f>"ETS-prijs (€/"&amp;VLOOKUP(Hulpblad_categorieën_parameters!D75,Hulpblad_categorieën_parameters!A81:Z303,26,FALSE)&amp;")"</f>
        <v>ETS-prijs (€/kWh)</v>
      </c>
      <c r="I48" s="473"/>
      <c r="J48" s="473"/>
      <c r="L48" s="473"/>
      <c r="O48" s="42"/>
      <c r="P48" s="42"/>
      <c r="Q48" s="42"/>
      <c r="R48" s="42"/>
      <c r="S48" s="42"/>
      <c r="T48" s="42"/>
      <c r="U48" s="42"/>
      <c r="V48" s="42"/>
      <c r="W48" s="42"/>
      <c r="X48" s="42"/>
      <c r="Y48" s="42"/>
      <c r="Z48" s="42"/>
      <c r="AA48" s="42"/>
      <c r="AB48" s="42"/>
      <c r="AC48" s="42"/>
      <c r="AD48" s="42"/>
      <c r="AE48" s="42"/>
      <c r="AF48" s="42"/>
      <c r="AG48" s="42"/>
      <c r="AH48" s="42"/>
    </row>
    <row r="49" spans="1:34" s="163" customFormat="1" ht="12.75" customHeight="1" x14ac:dyDescent="0.2">
      <c r="A49" s="12" t="str">
        <f>IF(B7="ETS-correctie","","Niet van toepassing")</f>
        <v>Niet van toepassing</v>
      </c>
      <c r="B49" s="30"/>
      <c r="C49" s="30"/>
      <c r="E49" s="175">
        <f>Productie_en_afzet!B20</f>
        <v>0</v>
      </c>
      <c r="H49" s="475">
        <f>H63</f>
        <v>0</v>
      </c>
      <c r="I49" s="476"/>
      <c r="J49" s="477"/>
      <c r="L49" s="192">
        <v>0.02</v>
      </c>
      <c r="O49" s="42">
        <f>E49*H49</f>
        <v>0</v>
      </c>
      <c r="P49" s="42">
        <f>O49*(1+$L$49)</f>
        <v>0</v>
      </c>
      <c r="Q49" s="42">
        <f t="shared" ref="Q49:V49" si="22">P49*(1+$L$49)</f>
        <v>0</v>
      </c>
      <c r="R49" s="42">
        <f t="shared" si="22"/>
        <v>0</v>
      </c>
      <c r="S49" s="42">
        <f t="shared" si="22"/>
        <v>0</v>
      </c>
      <c r="T49" s="42">
        <f t="shared" si="22"/>
        <v>0</v>
      </c>
      <c r="U49" s="42">
        <f t="shared" si="22"/>
        <v>0</v>
      </c>
      <c r="V49" s="42">
        <f t="shared" si="22"/>
        <v>0</v>
      </c>
      <c r="W49" s="42">
        <f>IF($B$12&gt;8,V49*(1+$L$49),"")</f>
        <v>0</v>
      </c>
      <c r="X49" s="42">
        <f>IF($B$12&gt;9,W49*(1+$L$49),"")</f>
        <v>0</v>
      </c>
      <c r="Y49" s="42">
        <f>IF($B$12&gt;10,X49*(1+$L$49),"")</f>
        <v>0</v>
      </c>
      <c r="Z49" s="42">
        <f>IF($B$12&gt;11,Y49*(1+$L$49),"")</f>
        <v>0</v>
      </c>
      <c r="AA49" s="42">
        <f>IF($B$12&gt;12,Z49*(1+$L$49),"")</f>
        <v>0</v>
      </c>
      <c r="AB49" s="42">
        <f>IF($B$12&gt;13,AA49*(1+$L$49),"")</f>
        <v>0</v>
      </c>
      <c r="AC49" s="42">
        <f>IF($B$12&gt;14,AB49*(1+$L$49),"")</f>
        <v>0</v>
      </c>
      <c r="AD49" s="42">
        <f>IF($B$12&gt;15,AC49*(1+$L$49),"")</f>
        <v>0</v>
      </c>
      <c r="AE49" s="42">
        <f>IF($B$12&gt;16,AD49*(1+$L$49),"")</f>
        <v>0</v>
      </c>
      <c r="AF49" s="42">
        <f>IF($B$12&gt;17,AE49*(1+$L$49),"")</f>
        <v>0</v>
      </c>
      <c r="AG49" s="42">
        <f>IF($B$12&gt;18,AF49*(1+$L$49),"")</f>
        <v>0</v>
      </c>
      <c r="AH49" s="42">
        <f>IF($B$12&gt;19,AG49*(1+$L$49),"")</f>
        <v>0</v>
      </c>
    </row>
    <row r="50" spans="1:34" s="163" customFormat="1" ht="30.75" customHeight="1" x14ac:dyDescent="0.2">
      <c r="B50" s="478"/>
      <c r="C50" s="478"/>
      <c r="E50" s="479" t="str">
        <f>"Subsidiabele productie ("&amp;VLOOKUP(Hulpblad_categorieën_parameters!D75,Hulpblad_categorieën_parameters!A81:Z303,26,FALSE)&amp;"/jaar)"</f>
        <v>Subsidiabele productie (kWh/jaar)</v>
      </c>
      <c r="H50" s="462"/>
      <c r="I50" s="479"/>
      <c r="J50" s="479"/>
      <c r="L50" s="462"/>
      <c r="O50" s="167"/>
      <c r="P50" s="167"/>
      <c r="Q50" s="167"/>
      <c r="R50" s="167"/>
      <c r="S50" s="167"/>
      <c r="T50" s="167"/>
      <c r="U50" s="167"/>
      <c r="V50" s="167"/>
      <c r="W50" s="86"/>
      <c r="X50" s="86"/>
      <c r="Y50" s="86"/>
      <c r="Z50" s="86"/>
    </row>
    <row r="51" spans="1:34" s="163" customFormat="1" ht="12.75" customHeight="1" x14ac:dyDescent="0.2">
      <c r="A51" s="30" t="s">
        <v>73</v>
      </c>
      <c r="B51" s="478"/>
      <c r="C51" s="478"/>
      <c r="E51" s="473"/>
      <c r="H51" s="479"/>
      <c r="I51" s="479"/>
      <c r="J51" s="479"/>
      <c r="L51" s="479"/>
      <c r="O51" s="167"/>
      <c r="P51" s="167"/>
      <c r="Q51" s="167"/>
      <c r="R51" s="167"/>
      <c r="S51" s="167"/>
      <c r="T51" s="167"/>
      <c r="U51" s="167"/>
      <c r="V51" s="167"/>
      <c r="W51" s="86"/>
      <c r="X51" s="86"/>
      <c r="Y51" s="86"/>
      <c r="Z51" s="86"/>
    </row>
    <row r="52" spans="1:34" s="163" customFormat="1" ht="12.75" customHeight="1" x14ac:dyDescent="0.2">
      <c r="A52" s="12" t="str">
        <f>IF(OR(Hulpblad_categorieën_parameters!D25="Zon-PV",Hulpblad_categorieën_parameters!D25="Wind"),"Elektriciteit netlevering","")</f>
        <v>Elektriciteit netlevering</v>
      </c>
      <c r="B52" s="483"/>
      <c r="C52" s="484"/>
      <c r="D52" s="168"/>
      <c r="E52" s="247">
        <f>IF(OR(Hulpblad_categorieën_parameters!D25="Zon-PV",Hulpblad_categorieën_parameters!D25="Wind"),MIN(Productie_en_afzet!B23,E43),Productie_en_afzet!B23)</f>
        <v>0</v>
      </c>
      <c r="H52" s="485"/>
      <c r="I52" s="458"/>
      <c r="J52" s="458"/>
      <c r="L52" s="176"/>
      <c r="M52" s="486"/>
      <c r="N52" s="487"/>
      <c r="O52" s="166"/>
      <c r="P52" s="166"/>
      <c r="Q52" s="166"/>
      <c r="R52" s="166"/>
      <c r="S52" s="166"/>
      <c r="T52" s="166"/>
      <c r="U52" s="166"/>
      <c r="V52" s="166"/>
      <c r="W52" s="57"/>
      <c r="X52" s="57"/>
      <c r="Y52" s="57"/>
      <c r="Z52" s="57"/>
      <c r="AA52" s="57"/>
      <c r="AB52" s="57"/>
      <c r="AC52" s="57"/>
    </row>
    <row r="53" spans="1:34" s="163" customFormat="1" ht="12.75" customHeight="1" x14ac:dyDescent="0.2">
      <c r="A53" s="12"/>
      <c r="B53" s="88"/>
      <c r="C53" s="40"/>
      <c r="D53" s="168"/>
      <c r="E53" s="53"/>
      <c r="F53" s="12"/>
      <c r="H53" s="177"/>
      <c r="I53" s="177"/>
      <c r="J53" s="177"/>
      <c r="L53" s="174"/>
      <c r="M53" s="87"/>
      <c r="N53" s="168"/>
      <c r="O53" s="57"/>
      <c r="P53" s="57"/>
      <c r="Q53" s="57"/>
      <c r="R53" s="57"/>
      <c r="S53" s="57"/>
      <c r="T53" s="57"/>
      <c r="U53" s="57"/>
      <c r="V53" s="57"/>
      <c r="W53" s="57"/>
      <c r="X53" s="57"/>
      <c r="Y53" s="57"/>
      <c r="Z53" s="57"/>
      <c r="AA53" s="57"/>
      <c r="AB53" s="57"/>
      <c r="AC53" s="57"/>
    </row>
    <row r="54" spans="1:34" s="163" customFormat="1" ht="12.75" customHeight="1" x14ac:dyDescent="0.2">
      <c r="A54" s="12" t="str">
        <f>"Basisbedrag of fasebedrag (€/"&amp;VLOOKUP(Hulpblad_categorieën_parameters!D75,Hulpblad_categorieën_parameters!A81:Z303,26,FALSE)&amp;")"</f>
        <v>Basisbedrag of fasebedrag (€/kWh)</v>
      </c>
      <c r="C54" s="12"/>
      <c r="D54" s="168"/>
      <c r="E54" s="193">
        <f>VLOOKUP(Hulpblad_categorieën_parameters!D75,Hulpblad_categorieën_parameters!A81:AA303,2,FALSE)</f>
        <v>7.9100000000000004E-2</v>
      </c>
      <c r="H54" s="479" t="str">
        <f>"Voorlopig correctiebedrag productprijs (€/"&amp;VLOOKUP(Hulpblad_categorieën_parameters!D75,Hulpblad_categorieën_parameters!A81:Z303,26,FALSE)&amp;")"</f>
        <v>Voorlopig correctiebedrag productprijs (€/kWh)</v>
      </c>
      <c r="I54" s="479"/>
      <c r="J54" s="479"/>
      <c r="L54" s="462" t="s">
        <v>74</v>
      </c>
      <c r="M54" s="87"/>
      <c r="N54" s="168"/>
      <c r="O54" s="57"/>
      <c r="P54" s="57"/>
      <c r="Q54" s="57"/>
      <c r="R54" s="57"/>
      <c r="S54" s="57"/>
      <c r="T54" s="57"/>
      <c r="U54" s="57"/>
      <c r="V54" s="57"/>
      <c r="W54" s="57"/>
      <c r="X54" s="57"/>
      <c r="Y54" s="57"/>
      <c r="Z54" s="57"/>
      <c r="AA54" s="57"/>
      <c r="AB54" s="57"/>
      <c r="AC54" s="57"/>
    </row>
    <row r="55" spans="1:34" s="163" customFormat="1" ht="12.75" customHeight="1" x14ac:dyDescent="0.2">
      <c r="A55" s="12" t="str">
        <f>IF(OR(Hulpblad_categorieën_parameters!D25="Zon-PV",Hulpblad_categorieën_parameters!D25="Wind"),"Opbrengstgrensbedrag (€/kWh)","")</f>
        <v>Opbrengstgrensbedrag (€/kWh)</v>
      </c>
      <c r="C55" s="12"/>
      <c r="D55" s="168"/>
      <c r="E55" s="177">
        <f>IF(OR(Hulpblad_categorieën_parameters!D25="Zon-PV",Hulpblad_categorieën_parameters!D25="Wind"),VLOOKUP(Hulpblad_categorieën_parameters!D75,Hulpblad_categorieën_parameters!A81:AA303,2,FALSE)+0.018,"")</f>
        <v>9.7100000000000006E-2</v>
      </c>
      <c r="H55" s="479"/>
      <c r="I55" s="479"/>
      <c r="J55" s="479"/>
      <c r="L55" s="462"/>
      <c r="M55" s="87"/>
      <c r="N55" s="168"/>
      <c r="O55" s="57"/>
      <c r="P55" s="57"/>
      <c r="Q55" s="57"/>
      <c r="R55" s="57"/>
      <c r="S55" s="57"/>
      <c r="T55" s="57"/>
      <c r="U55" s="57"/>
      <c r="V55" s="57"/>
      <c r="W55" s="57"/>
      <c r="X55" s="57"/>
      <c r="Y55" s="57"/>
      <c r="Z55" s="57"/>
      <c r="AA55" s="57"/>
      <c r="AB55" s="57"/>
      <c r="AC55" s="57"/>
    </row>
    <row r="56" spans="1:34" s="163" customFormat="1" ht="12.75" customHeight="1" x14ac:dyDescent="0.2">
      <c r="A56" s="12"/>
      <c r="C56" s="12"/>
      <c r="D56" s="168"/>
      <c r="E56" s="177"/>
      <c r="H56" s="479"/>
      <c r="I56" s="479"/>
      <c r="J56" s="479"/>
      <c r="L56" s="462"/>
      <c r="M56" s="87"/>
      <c r="N56" s="168"/>
      <c r="O56" s="57"/>
      <c r="P56" s="57"/>
      <c r="Q56" s="57"/>
      <c r="R56" s="57"/>
      <c r="S56" s="57"/>
      <c r="T56" s="57"/>
      <c r="U56" s="57"/>
      <c r="V56" s="57"/>
      <c r="W56" s="57"/>
      <c r="X56" s="57"/>
      <c r="Y56" s="57"/>
      <c r="Z56" s="57"/>
      <c r="AA56" s="57"/>
      <c r="AB56" s="57"/>
      <c r="AC56" s="57"/>
    </row>
    <row r="57" spans="1:34" s="163" customFormat="1" ht="26.25" customHeight="1" x14ac:dyDescent="0.2">
      <c r="B57" s="53"/>
      <c r="C57" s="12"/>
      <c r="D57" s="168"/>
      <c r="H57" s="473"/>
      <c r="I57" s="473"/>
      <c r="J57" s="473"/>
      <c r="L57" s="479"/>
      <c r="M57" s="87"/>
      <c r="N57" s="168"/>
      <c r="O57" s="57"/>
      <c r="P57" s="57"/>
      <c r="Q57" s="57"/>
      <c r="R57" s="57"/>
      <c r="S57" s="57"/>
      <c r="T57" s="57"/>
      <c r="U57" s="57"/>
      <c r="V57" s="57"/>
      <c r="W57" s="57"/>
      <c r="X57" s="57"/>
      <c r="Y57" s="57"/>
      <c r="Z57" s="57"/>
      <c r="AA57" s="57"/>
      <c r="AB57" s="57"/>
      <c r="AC57" s="57"/>
    </row>
    <row r="58" spans="1:34" s="163" customFormat="1" ht="12.75" customHeight="1" x14ac:dyDescent="0.2">
      <c r="A58" s="12" t="str">
        <f>IF(Hulpblad_categorieën_parameters!D25="Zon-PV","Verwacht correctiebedrag elektriciteit netlevering (€/kWh)","Verwacht correctiebedrag productprijs (€/"&amp;VLOOKUP(Hulpblad_categorieën_parameters!D75,Hulpblad_categorieën_parameters!A81:Z303,26,FALSE)&amp;")")</f>
        <v>Verwacht correctiebedrag elektriciteit netlevering (€/kWh)</v>
      </c>
      <c r="B58" s="53"/>
      <c r="C58" s="12"/>
      <c r="D58" s="168"/>
      <c r="H58" s="488">
        <f>VLOOKUP(Hulpblad_categorieën_parameters!D75,Hulpblad_categorieën_parameters!A81:AD303,29,FALSE)</f>
        <v>6.8247382880380278E-2</v>
      </c>
      <c r="I58" s="476"/>
      <c r="J58" s="477"/>
      <c r="L58" s="194">
        <v>0.02</v>
      </c>
      <c r="M58" s="87"/>
      <c r="N58" s="168"/>
      <c r="O58" s="89">
        <f>H58</f>
        <v>6.8247382880380278E-2</v>
      </c>
      <c r="P58" s="89">
        <f>O58*(1+$L$58)</f>
        <v>6.961233053798789E-2</v>
      </c>
      <c r="Q58" s="89">
        <f t="shared" ref="Q58:V58" si="23">P58*(1+$L$58)</f>
        <v>7.1004577148747652E-2</v>
      </c>
      <c r="R58" s="89">
        <f t="shared" si="23"/>
        <v>7.2424668691722607E-2</v>
      </c>
      <c r="S58" s="89">
        <f t="shared" si="23"/>
        <v>7.3873162065557066E-2</v>
      </c>
      <c r="T58" s="89">
        <f t="shared" si="23"/>
        <v>7.5350625306868202E-2</v>
      </c>
      <c r="U58" s="89">
        <f t="shared" si="23"/>
        <v>7.6857637813005572E-2</v>
      </c>
      <c r="V58" s="89">
        <f t="shared" si="23"/>
        <v>7.8394790569265682E-2</v>
      </c>
      <c r="W58" s="89">
        <f>IF($B$12&gt;8,IF($B$11&gt;8,V58*(1+$L$58),0),"")</f>
        <v>7.9962686380651002E-2</v>
      </c>
      <c r="X58" s="89">
        <f>IF($B$12&gt;9,IF($B$11&gt;9,W58*(1+$L$58),0),"")</f>
        <v>8.1561940108264022E-2</v>
      </c>
      <c r="Y58" s="89">
        <f>IF($B$12&gt;10,IF($B$11&gt;10,X58*(1+$L$58),0),"")</f>
        <v>8.3193178910429308E-2</v>
      </c>
      <c r="Z58" s="89">
        <f>IF($B$12&gt;11,IF($B$11&gt;11,Y58*(1+$L$58),0),"")</f>
        <v>8.4857042488637902E-2</v>
      </c>
      <c r="AA58" s="89">
        <f>IF($B$12&gt;12,IF($B$11&gt;12,Z58*(1+$L$58),0),"")</f>
        <v>8.6554183338410667E-2</v>
      </c>
      <c r="AB58" s="89">
        <f>IF($B$12&gt;13,IF($B$11&gt;13,AA58*(1+$L$58),0),"")</f>
        <v>8.8285267005178886E-2</v>
      </c>
      <c r="AC58" s="89">
        <f>IF($B$12&gt;14,IF($B$11&gt;14,AB58*(1+$L$58),0),"")</f>
        <v>9.0050972345282462E-2</v>
      </c>
      <c r="AD58" s="89">
        <f>IF($B$12&gt;15,IF($B$11&gt;15,AC58*(1+$L$58),0),"")</f>
        <v>0</v>
      </c>
      <c r="AE58" s="89">
        <f>IF($B$12&gt;16,IF($B$11&gt;16,AD58*(1+$L$58),0),"")</f>
        <v>0</v>
      </c>
      <c r="AF58" s="89">
        <f>IF($B$12&gt;17,IF($B$11&gt;17,AE58*(1+$L$58),0),"")</f>
        <v>0</v>
      </c>
      <c r="AG58" s="89">
        <f>IF($B$12&gt;18,IF($B$11&gt;18,AF58*(1+$L$58),0),"")</f>
        <v>0</v>
      </c>
      <c r="AH58" s="89">
        <f>IF($B$12&gt;19,IF($B$11&gt;19,AG58*(1+$L$58),0),"")</f>
        <v>0</v>
      </c>
    </row>
    <row r="59" spans="1:34" s="163" customFormat="1" ht="12.75" customHeight="1" x14ac:dyDescent="0.2">
      <c r="B59" s="53"/>
      <c r="C59" s="12"/>
      <c r="D59" s="168"/>
      <c r="H59" s="179"/>
      <c r="I59" s="179"/>
      <c r="J59" s="179"/>
      <c r="L59" s="178"/>
      <c r="M59" s="479"/>
      <c r="N59" s="479"/>
      <c r="O59" s="57"/>
      <c r="P59" s="57"/>
      <c r="Q59" s="57"/>
      <c r="R59" s="57"/>
      <c r="S59" s="57"/>
      <c r="T59" s="57"/>
      <c r="U59" s="57"/>
      <c r="V59" s="57"/>
      <c r="W59" s="227"/>
      <c r="X59" s="222"/>
      <c r="Y59" s="57"/>
      <c r="Z59" s="57"/>
      <c r="AA59" s="57"/>
      <c r="AB59" s="57"/>
      <c r="AC59" s="57"/>
      <c r="AD59" s="222"/>
      <c r="AE59" s="222"/>
      <c r="AF59" s="222"/>
      <c r="AG59" s="222"/>
      <c r="AH59" s="222"/>
    </row>
    <row r="60" spans="1:34" s="163" customFormat="1" ht="12.75" customHeight="1" x14ac:dyDescent="0.2">
      <c r="A60" s="12"/>
      <c r="B60" s="53"/>
      <c r="C60" s="12"/>
      <c r="D60" s="168"/>
      <c r="H60" s="489" t="str">
        <f>"Voorlopig correctiebedrag ETS-prijs (€/"&amp;VLOOKUP(Hulpblad_categorieën_parameters!D75,Hulpblad_categorieën_parameters!A81:Z303,26,FALSE)&amp;")"</f>
        <v>Voorlopig correctiebedrag ETS-prijs (€/kWh)</v>
      </c>
      <c r="I60" s="479"/>
      <c r="J60" s="479"/>
      <c r="L60" s="178"/>
      <c r="M60" s="479"/>
      <c r="N60" s="479"/>
      <c r="O60" s="57"/>
      <c r="P60" s="57"/>
      <c r="Q60" s="57"/>
      <c r="R60" s="57"/>
      <c r="S60" s="57"/>
      <c r="T60" s="57"/>
      <c r="U60" s="57"/>
      <c r="V60" s="57"/>
      <c r="W60" s="222"/>
      <c r="X60" s="222"/>
      <c r="Y60" s="57"/>
      <c r="Z60" s="57"/>
      <c r="AA60" s="57"/>
      <c r="AB60" s="57"/>
      <c r="AC60" s="57"/>
      <c r="AD60" s="222"/>
      <c r="AE60" s="222"/>
      <c r="AF60" s="222"/>
      <c r="AG60" s="222"/>
      <c r="AH60" s="222"/>
    </row>
    <row r="61" spans="1:34" s="163" customFormat="1" ht="12.75" customHeight="1" x14ac:dyDescent="0.2">
      <c r="A61" s="12"/>
      <c r="B61" s="53"/>
      <c r="C61" s="12"/>
      <c r="D61" s="168"/>
      <c r="H61" s="479"/>
      <c r="I61" s="479"/>
      <c r="J61" s="479"/>
      <c r="L61" s="472" t="s">
        <v>75</v>
      </c>
      <c r="M61" s="87"/>
      <c r="N61" s="168"/>
      <c r="O61" s="57"/>
      <c r="P61" s="57"/>
      <c r="Q61" s="57"/>
      <c r="R61" s="57"/>
      <c r="S61" s="57"/>
      <c r="T61" s="57"/>
      <c r="U61" s="57"/>
      <c r="V61" s="57"/>
      <c r="W61" s="222"/>
      <c r="X61" s="222"/>
      <c r="Y61" s="57"/>
      <c r="Z61" s="57"/>
      <c r="AA61" s="57"/>
      <c r="AB61" s="57"/>
      <c r="AC61" s="57"/>
      <c r="AD61" s="222"/>
      <c r="AE61" s="222"/>
      <c r="AF61" s="222"/>
      <c r="AG61" s="222"/>
      <c r="AH61" s="222"/>
    </row>
    <row r="62" spans="1:34" s="163" customFormat="1" ht="12.75" customHeight="1" x14ac:dyDescent="0.2">
      <c r="B62" s="53"/>
      <c r="C62" s="12"/>
      <c r="D62" s="168"/>
      <c r="H62" s="473"/>
      <c r="I62" s="473"/>
      <c r="J62" s="473"/>
      <c r="L62" s="473"/>
      <c r="M62" s="87"/>
      <c r="N62" s="168"/>
      <c r="O62" s="57"/>
      <c r="P62" s="57"/>
      <c r="Q62" s="57"/>
      <c r="R62" s="57"/>
      <c r="S62" s="57"/>
      <c r="T62" s="57"/>
      <c r="U62" s="57"/>
      <c r="V62" s="57"/>
      <c r="W62" s="222"/>
      <c r="X62" s="222"/>
      <c r="Y62" s="57"/>
      <c r="Z62" s="57"/>
      <c r="AA62" s="57"/>
      <c r="AB62" s="57"/>
      <c r="AC62" s="57"/>
      <c r="AD62" s="222"/>
      <c r="AE62" s="222"/>
      <c r="AF62" s="222"/>
      <c r="AG62" s="222"/>
      <c r="AH62" s="222"/>
    </row>
    <row r="63" spans="1:34" s="163" customFormat="1" ht="12.75" customHeight="1" x14ac:dyDescent="0.2">
      <c r="A63" s="12" t="str">
        <f>"Verwacht correctiebedrag ETS-prijs (€/"&amp;VLOOKUP(Hulpblad_categorieën_parameters!D75,Hulpblad_categorieën_parameters!A81:Z303,26,FALSE)&amp;")"</f>
        <v>Verwacht correctiebedrag ETS-prijs (€/kWh)</v>
      </c>
      <c r="B63" s="53"/>
      <c r="C63" s="12"/>
      <c r="D63" s="168"/>
      <c r="H63" s="480">
        <f>IF(B7="geen ETS-correctie",0,IF(B7="ETS-correctie",VLOOKUP(Hulpblad_categorieën_parameters!D75,Hulpblad_categorieën_parameters!A81:AA303,11,FALSE),))</f>
        <v>0</v>
      </c>
      <c r="I63" s="481"/>
      <c r="J63" s="482"/>
      <c r="L63" s="194">
        <v>0.02</v>
      </c>
      <c r="M63" s="87"/>
      <c r="N63" s="168"/>
      <c r="O63" s="89">
        <f>H63</f>
        <v>0</v>
      </c>
      <c r="P63" s="89">
        <f>O63*(1+$L$63)</f>
        <v>0</v>
      </c>
      <c r="Q63" s="89">
        <f t="shared" ref="Q63:V63" si="24">P63*(1+$L$63)</f>
        <v>0</v>
      </c>
      <c r="R63" s="89">
        <f t="shared" si="24"/>
        <v>0</v>
      </c>
      <c r="S63" s="89">
        <f t="shared" si="24"/>
        <v>0</v>
      </c>
      <c r="T63" s="89">
        <f t="shared" si="24"/>
        <v>0</v>
      </c>
      <c r="U63" s="89">
        <f t="shared" si="24"/>
        <v>0</v>
      </c>
      <c r="V63" s="89">
        <f t="shared" si="24"/>
        <v>0</v>
      </c>
      <c r="W63" s="89">
        <f>IF($B$12&gt;8,IF($B$11&gt;8,V63*(1+$L$63),0),"")</f>
        <v>0</v>
      </c>
      <c r="X63" s="89">
        <f>IF($B$12&gt;9,IF($B$11&gt;9,W63*(1+$L$63),0),"")</f>
        <v>0</v>
      </c>
      <c r="Y63" s="89">
        <f>IF($B$12&gt;10,IF($B$11&gt;10,X63*(1+$L$63),0),"")</f>
        <v>0</v>
      </c>
      <c r="Z63" s="89">
        <f>IF($B$12&gt;11,IF($B$11&gt;11,Y63*(1+$L$63),0),"")</f>
        <v>0</v>
      </c>
      <c r="AA63" s="89">
        <f>IF($B$12&gt;12,IF($B$11&gt;12,Z63*(1+$L$63),0),"")</f>
        <v>0</v>
      </c>
      <c r="AB63" s="89">
        <f>IF($B$12&gt;13,IF($B$11&gt;13,AA63*(1+$L$63),0),"")</f>
        <v>0</v>
      </c>
      <c r="AC63" s="89">
        <f>IF($B$12&gt;14,IF($B$11&gt;14,AB63*(1+$L$63),0),"")</f>
        <v>0</v>
      </c>
      <c r="AD63" s="89">
        <f>IF($B$12&gt;15,IF($B$11&gt;15,AC63*(1+$L$63),0),"")</f>
        <v>0</v>
      </c>
      <c r="AE63" s="89">
        <f>IF($B$12&gt;16,IF($B$11&gt;16,AD63*(1+$L$63),0),"")</f>
        <v>0</v>
      </c>
      <c r="AF63" s="89">
        <f>IF($B$12&gt;17,IF($B$11&gt;17,AE63*(1+$L$63),0),"")</f>
        <v>0</v>
      </c>
      <c r="AG63" s="89">
        <f>IF($B$12&gt;18,IF($B$11&gt;18,AF63*(1+$L$63),0),"")</f>
        <v>0</v>
      </c>
      <c r="AH63" s="89">
        <f>IF($B$12&gt;19,IF($B$11&gt;19,AG63*(1+$L$63),0),"")</f>
        <v>0</v>
      </c>
    </row>
    <row r="64" spans="1:34" s="163" customFormat="1" ht="12.75" customHeight="1" x14ac:dyDescent="0.2">
      <c r="A64" s="12"/>
      <c r="B64" s="53"/>
      <c r="C64" s="12"/>
      <c r="D64" s="168"/>
      <c r="H64" s="179"/>
      <c r="I64" s="179"/>
      <c r="J64" s="179"/>
      <c r="L64" s="178"/>
      <c r="M64" s="87"/>
      <c r="N64" s="168"/>
      <c r="O64" s="89"/>
      <c r="P64" s="89"/>
      <c r="Q64" s="89"/>
      <c r="R64" s="89"/>
      <c r="S64" s="89"/>
      <c r="T64" s="89"/>
      <c r="U64" s="89"/>
      <c r="V64" s="89"/>
      <c r="W64" s="227"/>
      <c r="X64" s="227"/>
      <c r="Y64" s="227"/>
      <c r="Z64" s="227"/>
      <c r="AA64" s="227"/>
      <c r="AB64" s="227"/>
      <c r="AC64" s="227"/>
      <c r="AD64" s="227"/>
      <c r="AE64" s="227"/>
      <c r="AF64" s="227"/>
      <c r="AG64" s="227"/>
      <c r="AH64" s="227"/>
    </row>
    <row r="65" spans="1:34" s="163" customFormat="1" ht="12.75" customHeight="1" x14ac:dyDescent="0.2">
      <c r="A65" s="12" t="str">
        <f>IF(Hulpblad_categorieën_parameters!D25="Zon-PV","Verwacht subsidiebedrag elektriciteit netlevering (€/kWh)","Verwacht subsidiebedrag per eenheid product (€/"&amp;VLOOKUP(Hulpblad_categorieën_parameters!D75,Hulpblad_categorieën_parameters!A81:Z303,26,FALSE)&amp;")")</f>
        <v>Verwacht subsidiebedrag elektriciteit netlevering (€/kWh)</v>
      </c>
      <c r="B65" s="53"/>
      <c r="C65" s="12"/>
      <c r="D65" s="168"/>
      <c r="H65" s="179"/>
      <c r="I65" s="179"/>
      <c r="J65" s="179"/>
      <c r="L65" s="178"/>
      <c r="M65" s="87"/>
      <c r="N65" s="168"/>
      <c r="O65" s="89">
        <f t="shared" ref="O65:V65" si="25">IF($E$54-O58-O63&gt;0,$E$54-O58-O63,0)</f>
        <v>1.0852617119619726E-2</v>
      </c>
      <c r="P65" s="89">
        <f t="shared" si="25"/>
        <v>9.4876694620121133E-3</v>
      </c>
      <c r="Q65" s="89">
        <f t="shared" si="25"/>
        <v>8.0954228512523513E-3</v>
      </c>
      <c r="R65" s="89">
        <f t="shared" si="25"/>
        <v>6.6753313082773963E-3</v>
      </c>
      <c r="S65" s="89">
        <f t="shared" si="25"/>
        <v>5.2268379344429378E-3</v>
      </c>
      <c r="T65" s="89">
        <f t="shared" si="25"/>
        <v>3.7493746931318017E-3</v>
      </c>
      <c r="U65" s="89">
        <f t="shared" si="25"/>
        <v>2.2423621869944316E-3</v>
      </c>
      <c r="V65" s="89">
        <f t="shared" si="25"/>
        <v>7.0520943073432152E-4</v>
      </c>
      <c r="W65" s="89">
        <f>IF(AND($B$12&gt;8,$B$11&gt;8),IF($E$54-W58-W63&gt;0,$E$54-W58-W63,0),IF($B$12&gt;8,0,""))</f>
        <v>0</v>
      </c>
      <c r="X65" s="89">
        <f>IF(AND($B$12&gt;9,$B$11&gt;9),IF($E$54-X58-X63&gt;0,$E$54-X58-X63,0),IF($B$12&gt;9,0,""))</f>
        <v>0</v>
      </c>
      <c r="Y65" s="89">
        <f>IF(AND($B$12&gt;10,$B$11&gt;10),IF($E$54-Y58-Y63&gt;0,$E$54-Y58-Y63,0),IF($B$12&gt;10,0,""))</f>
        <v>0</v>
      </c>
      <c r="Z65" s="89">
        <f>IF(AND($B$12&gt;11,$B$11&gt;11),IF($E$54-Z58-Z63&gt;0,$E$54-Z58-Z63,0),IF($B$12&gt;11,0,""))</f>
        <v>0</v>
      </c>
      <c r="AA65" s="89">
        <f>IF(AND($B$12&gt;12,$B$11&gt;12),IF($E$54-AA58-AA63&gt;0,$E$54-AA58-AA63,0),IF($B$12&gt;12,0,""))</f>
        <v>0</v>
      </c>
      <c r="AB65" s="89">
        <f>IF(AND($B$12&gt;13,$B$11&gt;13),IF($E$54-AB58-AB63&gt;0,$E$54-AB58-AB63,0),IF($B$12&gt;13,0,""))</f>
        <v>0</v>
      </c>
      <c r="AC65" s="89">
        <f>IF(AND($B$12&gt;14,$B$11&gt;14),IF($E$54-AC58-AC63&gt;0,$E$54-AC58-AC63,0),IF($B$12&gt;14,0,""))</f>
        <v>0</v>
      </c>
      <c r="AD65" s="89">
        <f>IF(AND($B$12&gt;15,$B$11&gt;15),IF($E$54-AD58-AD63&gt;0,$E$54-AD58-AD63,0),IF($B$12&gt;15,0,""))</f>
        <v>0</v>
      </c>
      <c r="AE65" s="89">
        <f>IF(AND($B$12&gt;16,$B$11&gt;16),IF($E$54-AE58-AE63&gt;0,$E$54-AE58-AE63,0),IF($B$12&gt;16,0,""))</f>
        <v>0</v>
      </c>
      <c r="AF65" s="89">
        <f>IF(AND($B$12&gt;17,$B$11&gt;17),IF($E$54-AF58-AF63&gt;0,$E$54-AF58-AF63,0),IF($B$12&gt;17,0,""))</f>
        <v>0</v>
      </c>
      <c r="AG65" s="89">
        <f>IF(AND($B$12&gt;18,$B$11&gt;18),IF($E$54-AG58-AG63&gt;0,$E$54-AG58-AG63,0),IF($B$12&gt;18,0,""))</f>
        <v>0</v>
      </c>
      <c r="AH65" s="89">
        <f>IF(AND($B$12&gt;19,$B$11&gt;19),IF($E$54-AH58-AH63&gt;0,$E$54-AH58-AH63,0),IF($B$12&gt;19,0,""))</f>
        <v>0</v>
      </c>
    </row>
    <row r="66" spans="1:34" s="163" customFormat="1" ht="12.75" customHeight="1" x14ac:dyDescent="0.2">
      <c r="A66" s="12" t="str">
        <f>IF(OR(Hulpblad_categorieën_parameters!D25="Zon-PV",Hulpblad_categorieën_parameters!D25="Wind"),"Te verrekenen bedrag op subsidie bij overschrijding opbrengstgrensbedrag elektriciteit (€/kWh)","")</f>
        <v>Te verrekenen bedrag op subsidie bij overschrijding opbrengstgrensbedrag elektriciteit (€/kWh)</v>
      </c>
      <c r="B66" s="53"/>
      <c r="C66" s="12"/>
      <c r="D66" s="168"/>
      <c r="H66" s="179"/>
      <c r="I66" s="179"/>
      <c r="J66" s="179"/>
      <c r="L66" s="178"/>
      <c r="M66" s="87"/>
      <c r="N66" s="168"/>
      <c r="O66" s="89">
        <f>IF(OR(Hulpblad_categorieën_parameters!$D$25="Zon-PV",Hulpblad_categorieën_parameters!$D$25="Wind"),IF(O58&gt;$E$55,$E$55-O58,0),"")</f>
        <v>0</v>
      </c>
      <c r="P66" s="89">
        <f>IF(OR(Hulpblad_categorieën_parameters!$D$25="Zon-PV",Hulpblad_categorieën_parameters!$D$25="Wind"),IF(P58&gt;$E$55,$E$55-P58,0),"")</f>
        <v>0</v>
      </c>
      <c r="Q66" s="89">
        <f>IF(OR(Hulpblad_categorieën_parameters!$D$25="Zon-PV",Hulpblad_categorieën_parameters!$D$25="Wind"),IF(Q58&gt;$E$55,$E$55-Q58,0),"")</f>
        <v>0</v>
      </c>
      <c r="R66" s="89">
        <f>IF(OR(Hulpblad_categorieën_parameters!$D$25="Zon-PV",Hulpblad_categorieën_parameters!$D$25="Wind"),IF(R58&gt;$E$55,$E$55-R58,0),"")</f>
        <v>0</v>
      </c>
      <c r="S66" s="89">
        <f>IF(OR(Hulpblad_categorieën_parameters!$D$25="Zon-PV",Hulpblad_categorieën_parameters!$D$25="Wind"),IF(S58&gt;$E$55,$E$55-S58,0),"")</f>
        <v>0</v>
      </c>
      <c r="T66" s="89">
        <f>IF(OR(Hulpblad_categorieën_parameters!$D$25="Zon-PV",Hulpblad_categorieën_parameters!$D$25="Wind"),IF(T58&gt;$E$55,$E$55-T58,0),"")</f>
        <v>0</v>
      </c>
      <c r="U66" s="89">
        <f>IF(OR(Hulpblad_categorieën_parameters!$D$25="Zon-PV",Hulpblad_categorieën_parameters!$D$25="Wind"),IF(U58&gt;$E$55,$E$55-U58,0),"")</f>
        <v>0</v>
      </c>
      <c r="V66" s="89">
        <f>IF(OR(Hulpblad_categorieën_parameters!$D$25="Zon-PV",Hulpblad_categorieën_parameters!$D$25="Wind"),IF(V58&gt;$E$55,$E$55-V58,0),"")</f>
        <v>0</v>
      </c>
      <c r="W66" s="89">
        <f>IF(OR(Hulpblad_categorieën_parameters!$D$25="Zon-PV",Hulpblad_categorieën_parameters!$D$25="Wind"),IF(W58&gt;$E$55,$E$55-W58,0),"")</f>
        <v>0</v>
      </c>
      <c r="X66" s="89">
        <f>IF(OR(Hulpblad_categorieën_parameters!$D$25="Zon-PV",Hulpblad_categorieën_parameters!$D$25="Wind"),IF(X58&gt;$E$55,$E$55-X58,0),"")</f>
        <v>0</v>
      </c>
      <c r="Y66" s="89">
        <f>IF(OR(Hulpblad_categorieën_parameters!$D$25="Zon-PV",Hulpblad_categorieën_parameters!$D$25="Wind"),IF(Y58&gt;$E$55,$E$55-Y58,0),"")</f>
        <v>0</v>
      </c>
      <c r="Z66" s="89">
        <f>IF(OR(Hulpblad_categorieën_parameters!$D$25="Zon-PV",Hulpblad_categorieën_parameters!$D$25="Wind"),IF(Z58&gt;$E$55,$E$55-Z58,0),"")</f>
        <v>0</v>
      </c>
      <c r="AA66" s="89">
        <f>IF(OR(Hulpblad_categorieën_parameters!$D$25="Zon-PV",Hulpblad_categorieën_parameters!$D$25="Wind"),IF(AA58&gt;$E$55,$E$55-AA58,0),"")</f>
        <v>0</v>
      </c>
      <c r="AB66" s="89">
        <f>IF(OR(Hulpblad_categorieën_parameters!$D$25="Zon-PV",Hulpblad_categorieën_parameters!$D$25="Wind"),IF(AB58&gt;$E$55,$E$55-AB58,0),"")</f>
        <v>0</v>
      </c>
      <c r="AC66" s="89">
        <f>IF(OR(Hulpblad_categorieën_parameters!$D$25="Zon-PV",Hulpblad_categorieën_parameters!$D$25="Wind"),IF(AC58&gt;$E$55,$E$55-AC58,0),"")</f>
        <v>0</v>
      </c>
      <c r="AD66" s="89">
        <f>IF(OR(Hulpblad_categorieën_parameters!$D$25="Zon-PV",Hulpblad_categorieën_parameters!$D$25="Wind"),IF(AD58&gt;$E$55,$E$55-AD58,0),"")</f>
        <v>0</v>
      </c>
      <c r="AE66" s="89">
        <f>IF(OR(Hulpblad_categorieën_parameters!$D$25="Zon-PV",Hulpblad_categorieën_parameters!$D$25="Wind"),IF(AE58&gt;$E$55,$E$55-AE58,0),"")</f>
        <v>0</v>
      </c>
      <c r="AF66" s="89">
        <f>IF(OR(Hulpblad_categorieën_parameters!$D$25="Zon-PV",Hulpblad_categorieën_parameters!$D$25="Wind"),IF(AF58&gt;$E$55,$E$55-AF58,0),"")</f>
        <v>0</v>
      </c>
      <c r="AG66" s="89">
        <f>IF(OR(Hulpblad_categorieën_parameters!$D$25="Zon-PV",Hulpblad_categorieën_parameters!$D$25="Wind"),IF(AG58&gt;$E$55,$E$55-AG58,0),"")</f>
        <v>0</v>
      </c>
      <c r="AH66" s="89">
        <f>IF(OR(Hulpblad_categorieën_parameters!$D$25="Zon-PV",Hulpblad_categorieën_parameters!$D$25="Wind"),IF(AH58&gt;$E$55,$E$55-AH58,0),"")</f>
        <v>0</v>
      </c>
    </row>
    <row r="67" spans="1:34" s="163" customFormat="1" ht="12.75" customHeight="1" x14ac:dyDescent="0.2">
      <c r="A67" s="30" t="s">
        <v>494</v>
      </c>
      <c r="B67" s="53"/>
      <c r="C67" s="12"/>
      <c r="D67" s="168"/>
      <c r="H67" s="179"/>
      <c r="I67" s="179"/>
      <c r="J67" s="179"/>
      <c r="L67" s="178"/>
      <c r="M67" s="87"/>
      <c r="N67" s="168"/>
      <c r="O67" s="57">
        <f>$E$52*O65</f>
        <v>0</v>
      </c>
      <c r="P67" s="57">
        <f>IF(AND(O67&gt;0,P66&lt;0),MAX(-O67,$E$52*P66),$E$52*P65)</f>
        <v>0</v>
      </c>
      <c r="Q67" s="57">
        <f>IF(AND(SUM($O$67:P67)&gt;0,Q66&lt;0),MAX(-SUM($O$67:P67),$E$52*Q66),$E$52*Q65)</f>
        <v>0</v>
      </c>
      <c r="R67" s="57">
        <f>IF(AND(SUM($O$67:Q67)&gt;0,R66&lt;0),MAX(-SUM($O$67:Q67),$E$52*R66),$E$52*R65)</f>
        <v>0</v>
      </c>
      <c r="S67" s="57">
        <f>IF(AND(SUM($O$67:R67)&gt;0,S66&lt;0),MAX(-SUM($O$67:R67),$E$52*S66),$E$52*S65)</f>
        <v>0</v>
      </c>
      <c r="T67" s="57">
        <f>IF(AND(SUM($O$67:S67)&gt;0,T66&lt;0),MAX(-SUM($O$67:S67),$E$52*T66),$E$52*T65)</f>
        <v>0</v>
      </c>
      <c r="U67" s="57">
        <f>IF(AND(SUM($O$67:T67)&gt;0,U66&lt;0),MAX(-SUM($O$67:T67),$E$52*U66),$E$52*U65)</f>
        <v>0</v>
      </c>
      <c r="V67" s="57">
        <f>IF(AND(SUM($O$67:U67)&gt;0,V66&lt;0),MAX(-SUM($O$67:U67),$E$52*V66),$E$52*V65)</f>
        <v>0</v>
      </c>
      <c r="W67" s="57">
        <f>IF(AND(SUM($O$67:V67)&gt;0,W66&lt;0),MAX(-SUM($O$67:V67),$E$52*W66),$E$52*W65)</f>
        <v>0</v>
      </c>
      <c r="X67" s="57">
        <f>IF(AND(SUM($O$67:W67)&gt;0,X66&lt;0),MAX(-SUM($O$67:W67),$E$52*X66),$E$52*X65)</f>
        <v>0</v>
      </c>
      <c r="Y67" s="57">
        <f>IF(AND(SUM($O$67:X67)&gt;0,Y66&lt;0),MAX(-SUM($O$67:X67),$E$52*Y66),$E$52*Y65)</f>
        <v>0</v>
      </c>
      <c r="Z67" s="57">
        <f>IF(AND(SUM($O$67:Y67)&gt;0,Z66&lt;0),MAX(-SUM($O$67:Y67),$E$52*Z66),$E$52*Z65)</f>
        <v>0</v>
      </c>
      <c r="AA67" s="57">
        <f>IF(AND(SUM($O$67:Z67)&gt;0,AA66&lt;0),MAX(-SUM($O$67:Z67),$E$52*AA66),$E$52*AA65)</f>
        <v>0</v>
      </c>
      <c r="AB67" s="57">
        <f>IF(AND(SUM($O$67:AA67)&gt;0,AB66&lt;0),MAX(-SUM($O$67:AA67),$E$52*AB66),$E$52*AB65)</f>
        <v>0</v>
      </c>
      <c r="AC67" s="57">
        <f>IF(AND(SUM($O$67:AB67)&gt;0,AC66&lt;0),MAX(-SUM($O$67:AB67),$E$52*AC66),$E$52*AC65)</f>
        <v>0</v>
      </c>
      <c r="AD67" s="57">
        <f>IF($B$12&gt;15,IF($B$11&gt;15,$E$52*AD65,0),"")</f>
        <v>0</v>
      </c>
      <c r="AE67" s="57">
        <f>IF($B$12&gt;16,IF($B$11&gt;16,$E$52*AE65,0),"")</f>
        <v>0</v>
      </c>
      <c r="AF67" s="57">
        <f>IF($B$12&gt;17,IF($B$11&gt;17,$E$52*AF65,0),"")</f>
        <v>0</v>
      </c>
      <c r="AG67" s="57">
        <f>IF($B$12&gt;18,IF($B$11&gt;18,$E$52*AG65,0),"")</f>
        <v>0</v>
      </c>
      <c r="AH67" s="57">
        <f>IF($B$12&gt;19,IF($B$11&gt;19,$E$52*AH65,0),"")</f>
        <v>0</v>
      </c>
    </row>
    <row r="68" spans="1:34" s="163" customFormat="1" ht="12.75" customHeight="1" x14ac:dyDescent="0.2">
      <c r="A68" s="30"/>
      <c r="B68" s="30"/>
      <c r="C68" s="30"/>
      <c r="L68" s="174"/>
      <c r="M68" s="168"/>
      <c r="N68" s="168"/>
      <c r="O68" s="42"/>
      <c r="P68" s="42"/>
      <c r="Q68" s="42"/>
      <c r="R68" s="42"/>
      <c r="S68" s="42"/>
      <c r="T68" s="42"/>
      <c r="U68" s="42"/>
      <c r="V68" s="42"/>
      <c r="W68" s="157"/>
      <c r="X68" s="157"/>
      <c r="Y68" s="157"/>
      <c r="Z68" s="157"/>
    </row>
    <row r="69" spans="1:34" s="163" customFormat="1" ht="12.75" x14ac:dyDescent="0.2">
      <c r="A69" s="30" t="s">
        <v>76</v>
      </c>
      <c r="B69" s="30"/>
      <c r="C69" s="30"/>
      <c r="O69" s="167"/>
      <c r="P69" s="167"/>
      <c r="Q69" s="167"/>
      <c r="R69" s="167"/>
      <c r="S69" s="167"/>
      <c r="T69" s="167"/>
      <c r="U69" s="167"/>
      <c r="V69" s="167"/>
      <c r="W69" s="86"/>
      <c r="X69" s="86"/>
      <c r="Y69" s="86"/>
      <c r="Z69" s="86"/>
    </row>
    <row r="70" spans="1:34" s="163" customFormat="1" ht="12.75" x14ac:dyDescent="0.2">
      <c r="A70" s="163" t="s">
        <v>77</v>
      </c>
      <c r="B70" s="493"/>
      <c r="C70" s="494"/>
      <c r="D70" s="494"/>
      <c r="E70" s="494"/>
      <c r="F70" s="494"/>
      <c r="G70" s="494"/>
      <c r="H70" s="494"/>
      <c r="I70" s="494"/>
      <c r="J70" s="494"/>
      <c r="K70" s="494"/>
      <c r="L70" s="495"/>
      <c r="N70" s="167"/>
      <c r="O70" s="182">
        <v>0</v>
      </c>
      <c r="P70" s="183">
        <v>0</v>
      </c>
      <c r="Q70" s="183">
        <v>0</v>
      </c>
      <c r="R70" s="183">
        <v>0</v>
      </c>
      <c r="S70" s="183">
        <v>0</v>
      </c>
      <c r="T70" s="183">
        <v>0</v>
      </c>
      <c r="U70" s="183">
        <v>0</v>
      </c>
      <c r="V70" s="183">
        <v>0</v>
      </c>
      <c r="W70" s="230">
        <f>IF($B$12&gt;8,0,"")</f>
        <v>0</v>
      </c>
      <c r="X70" s="230">
        <f>IF($B$12&gt;9,0,"")</f>
        <v>0</v>
      </c>
      <c r="Y70" s="230">
        <f>IF($B$12&gt;10,0,"")</f>
        <v>0</v>
      </c>
      <c r="Z70" s="230">
        <f>IF($B$12&gt;11,0,"")</f>
        <v>0</v>
      </c>
      <c r="AA70" s="230">
        <f t="shared" ref="AA70:AA71" si="26">IF($B$12&gt;12,0,"")</f>
        <v>0</v>
      </c>
      <c r="AB70" s="230">
        <f>IF($B$12&gt;13,0,"")</f>
        <v>0</v>
      </c>
      <c r="AC70" s="230">
        <f>IF($B$12&gt;14,0,"")</f>
        <v>0</v>
      </c>
      <c r="AD70" s="230">
        <f>IF($B$12&gt;15,0,"")</f>
        <v>0</v>
      </c>
      <c r="AE70" s="230">
        <f>IF($B$12&gt;16,0,"")</f>
        <v>0</v>
      </c>
      <c r="AF70" s="230">
        <f>IF($B$12&gt;17,0,"")</f>
        <v>0</v>
      </c>
      <c r="AG70" s="230">
        <f>IF($B$12&gt;18,0,"")</f>
        <v>0</v>
      </c>
      <c r="AH70" s="230">
        <f>IF($B$12&gt;19,0,"")</f>
        <v>0</v>
      </c>
    </row>
    <row r="71" spans="1:34" s="163" customFormat="1" ht="12.75" x14ac:dyDescent="0.2">
      <c r="A71" s="163" t="s">
        <v>78</v>
      </c>
      <c r="B71" s="496"/>
      <c r="C71" s="392"/>
      <c r="D71" s="392"/>
      <c r="E71" s="392"/>
      <c r="F71" s="392"/>
      <c r="G71" s="392"/>
      <c r="H71" s="392"/>
      <c r="I71" s="392"/>
      <c r="J71" s="392"/>
      <c r="K71" s="392"/>
      <c r="L71" s="393"/>
      <c r="N71" s="167"/>
      <c r="O71" s="228">
        <v>0</v>
      </c>
      <c r="P71" s="229">
        <v>0</v>
      </c>
      <c r="Q71" s="229">
        <v>0</v>
      </c>
      <c r="R71" s="229">
        <v>0</v>
      </c>
      <c r="S71" s="229">
        <v>0</v>
      </c>
      <c r="T71" s="229">
        <v>0</v>
      </c>
      <c r="U71" s="229">
        <v>0</v>
      </c>
      <c r="V71" s="229">
        <v>0</v>
      </c>
      <c r="W71" s="230">
        <f>IF($B$12&gt;8,0,"")</f>
        <v>0</v>
      </c>
      <c r="X71" s="230">
        <f>IF($B$12&gt;9,0,"")</f>
        <v>0</v>
      </c>
      <c r="Y71" s="230">
        <f>IF($B$12&gt;10,0,"")</f>
        <v>0</v>
      </c>
      <c r="Z71" s="230">
        <f>IF($B$12&gt;11,0,"")</f>
        <v>0</v>
      </c>
      <c r="AA71" s="230">
        <f t="shared" si="26"/>
        <v>0</v>
      </c>
      <c r="AB71" s="230">
        <f>IF($B$12&gt;13,0,"")</f>
        <v>0</v>
      </c>
      <c r="AC71" s="230">
        <f>IF($B$12&gt;14,0,"")</f>
        <v>0</v>
      </c>
      <c r="AD71" s="230">
        <f>IF($B$12&gt;15,0,"")</f>
        <v>0</v>
      </c>
      <c r="AE71" s="230">
        <f>IF($B$12&gt;16,0,"")</f>
        <v>0</v>
      </c>
      <c r="AF71" s="230">
        <f>IF($B$12&gt;17,0,"")</f>
        <v>0</v>
      </c>
      <c r="AG71" s="230">
        <f>IF($B$12&gt;18,0,"")</f>
        <v>0</v>
      </c>
      <c r="AH71" s="230">
        <f>IF($B$12&gt;19,0,"")</f>
        <v>0</v>
      </c>
    </row>
    <row r="72" spans="1:34" s="163" customFormat="1" ht="12.75" x14ac:dyDescent="0.2">
      <c r="A72" s="30" t="s">
        <v>79</v>
      </c>
      <c r="B72" s="30"/>
      <c r="C72" s="30"/>
      <c r="N72" s="167"/>
      <c r="O72" s="42">
        <f>SUM(O70:O71)</f>
        <v>0</v>
      </c>
      <c r="P72" s="42">
        <f t="shared" ref="P72:V72" si="27">SUM(P70:P71)</f>
        <v>0</v>
      </c>
      <c r="Q72" s="42">
        <f t="shared" si="27"/>
        <v>0</v>
      </c>
      <c r="R72" s="42">
        <f t="shared" si="27"/>
        <v>0</v>
      </c>
      <c r="S72" s="42">
        <f t="shared" si="27"/>
        <v>0</v>
      </c>
      <c r="T72" s="42">
        <f t="shared" si="27"/>
        <v>0</v>
      </c>
      <c r="U72" s="42">
        <f t="shared" si="27"/>
        <v>0</v>
      </c>
      <c r="V72" s="42">
        <f t="shared" si="27"/>
        <v>0</v>
      </c>
      <c r="W72" s="42">
        <f>IF($B$12&gt;8,SUM(W70:W71),"")</f>
        <v>0</v>
      </c>
      <c r="X72" s="42">
        <f>IF($B$12&gt;9,SUM(X70:X71),"")</f>
        <v>0</v>
      </c>
      <c r="Y72" s="42">
        <f>IF($B$12&gt;10,SUM(Y70:Y71),"")</f>
        <v>0</v>
      </c>
      <c r="Z72" s="42">
        <f>IF($B$12&gt;11,SUM(Z70:Z71),"")</f>
        <v>0</v>
      </c>
      <c r="AA72" s="42">
        <f>IF($B$12&gt;12,SUM(AA70:AA71),"")</f>
        <v>0</v>
      </c>
      <c r="AB72" s="42">
        <f>IF($B$12&gt;13,SUM(AB70:AB71),"")</f>
        <v>0</v>
      </c>
      <c r="AC72" s="42">
        <f>IF($B$12&gt;14,SUM(AC70:AC71),"")</f>
        <v>0</v>
      </c>
      <c r="AD72" s="42">
        <f>IF($B$12&gt;15,SUM(AD70:AD71),"")</f>
        <v>0</v>
      </c>
      <c r="AE72" s="42">
        <f>IF($B$12&gt;16,SUM(AE70:AE71),"")</f>
        <v>0</v>
      </c>
      <c r="AF72" s="42">
        <f>IF($B$12&gt;17,SUM(AF70:AF71),"")</f>
        <v>0</v>
      </c>
      <c r="AG72" s="42">
        <f>IF($B$12&gt;18,SUM(AG70:AG71),"")</f>
        <v>0</v>
      </c>
      <c r="AH72" s="42">
        <f>IF($B$12&gt;19,SUM(AH70:AH71),"")</f>
        <v>0</v>
      </c>
    </row>
    <row r="73" spans="1:34" s="163" customFormat="1" ht="12.75" x14ac:dyDescent="0.2">
      <c r="B73" s="30"/>
      <c r="C73" s="30"/>
      <c r="E73" s="166"/>
      <c r="N73" s="167"/>
      <c r="O73" s="166"/>
      <c r="P73" s="166"/>
      <c r="Q73" s="166"/>
      <c r="R73" s="166"/>
      <c r="S73" s="166"/>
      <c r="T73" s="166"/>
      <c r="U73" s="166"/>
      <c r="V73" s="166"/>
      <c r="W73" s="57"/>
      <c r="X73" s="57"/>
      <c r="Y73" s="57"/>
      <c r="Z73" s="57"/>
      <c r="AA73" s="12"/>
      <c r="AB73" s="12"/>
      <c r="AC73" s="12"/>
      <c r="AD73" s="12"/>
      <c r="AE73" s="12"/>
      <c r="AF73" s="12"/>
      <c r="AG73" s="12"/>
      <c r="AH73" s="12"/>
    </row>
    <row r="74" spans="1:34" s="30" customFormat="1" ht="12.75" x14ac:dyDescent="0.2">
      <c r="A74" s="66" t="s">
        <v>80</v>
      </c>
      <c r="N74" s="43"/>
      <c r="O74" s="42">
        <f t="shared" ref="O74:V74" si="28">O67+O45+O72+O49</f>
        <v>0</v>
      </c>
      <c r="P74" s="42">
        <f t="shared" si="28"/>
        <v>0</v>
      </c>
      <c r="Q74" s="42">
        <f t="shared" si="28"/>
        <v>0</v>
      </c>
      <c r="R74" s="42">
        <f t="shared" si="28"/>
        <v>0</v>
      </c>
      <c r="S74" s="42">
        <f t="shared" si="28"/>
        <v>0</v>
      </c>
      <c r="T74" s="42">
        <f t="shared" si="28"/>
        <v>0</v>
      </c>
      <c r="U74" s="42">
        <f t="shared" si="28"/>
        <v>0</v>
      </c>
      <c r="V74" s="42">
        <f t="shared" si="28"/>
        <v>0</v>
      </c>
      <c r="W74" s="42">
        <f>IF($B$12&gt;8,W67+W45+W72+W49,"")</f>
        <v>0</v>
      </c>
      <c r="X74" s="42">
        <f>IF($B$12&gt;9,X67+X45+X72+X49,"")</f>
        <v>0</v>
      </c>
      <c r="Y74" s="42">
        <f>IF($B$12&gt;10,Y67+Y45+Y72+Y49,"")</f>
        <v>0</v>
      </c>
      <c r="Z74" s="42">
        <f>IF($B$12&gt;11,Z67+Z45+Z72+Z49,"")</f>
        <v>0</v>
      </c>
      <c r="AA74" s="42">
        <f>IF($B$12&gt;12,AA67+AA45+AA72+AA49,"")</f>
        <v>0</v>
      </c>
      <c r="AB74" s="42">
        <f>IF($B$12&gt;13,AB67+AB45+AB72+AB49,"")</f>
        <v>0</v>
      </c>
      <c r="AC74" s="42">
        <f>IF($B$12&gt;14,AC67+AC45+AC72+AC49,"")</f>
        <v>0</v>
      </c>
      <c r="AD74" s="42">
        <f>IF($B$12&gt;15,AD67+AD45+AD72+AD49,"")</f>
        <v>0</v>
      </c>
      <c r="AE74" s="42">
        <f>IF($B$12&gt;16,AE67+AE45+AE72+AE49,"")</f>
        <v>0</v>
      </c>
      <c r="AF74" s="42">
        <f>IF($B$12&gt;17,AF67+AF45+AF72+AF49,"")</f>
        <v>0</v>
      </c>
      <c r="AG74" s="42">
        <f>IF($B$12&gt;18,AG67+AG45+AG72+AG49,"")</f>
        <v>0</v>
      </c>
      <c r="AH74" s="42">
        <f>IF($B$12&gt;19,AH67+AH45+AH72+AH49,"")</f>
        <v>0</v>
      </c>
    </row>
    <row r="75" spans="1:34" x14ac:dyDescent="0.25">
      <c r="M75" s="163"/>
      <c r="N75" s="163"/>
      <c r="O75" s="166"/>
      <c r="P75" s="166"/>
      <c r="Q75" s="166"/>
      <c r="R75" s="166"/>
      <c r="S75" s="166"/>
      <c r="T75" s="166"/>
      <c r="U75" s="166"/>
      <c r="V75" s="166"/>
      <c r="W75" s="222"/>
      <c r="X75" s="222"/>
      <c r="Y75" s="222"/>
      <c r="Z75" s="222"/>
      <c r="AA75" s="40"/>
      <c r="AB75" s="40"/>
      <c r="AC75" s="40"/>
    </row>
    <row r="76" spans="1:34" ht="18" x14ac:dyDescent="0.25">
      <c r="A76" s="28" t="s">
        <v>81</v>
      </c>
      <c r="M76" s="163"/>
      <c r="N76" s="163"/>
      <c r="O76" s="167"/>
      <c r="P76" s="167"/>
      <c r="Q76" s="167"/>
      <c r="R76" s="167"/>
      <c r="S76" s="167"/>
      <c r="T76" s="167"/>
      <c r="U76" s="167"/>
      <c r="V76" s="167"/>
      <c r="W76" s="86"/>
      <c r="X76" s="86"/>
      <c r="Y76" s="86"/>
      <c r="Z76" s="86"/>
      <c r="AA76" s="40"/>
      <c r="AB76" s="40"/>
      <c r="AC76" s="40"/>
    </row>
    <row r="77" spans="1:34" ht="12.75" customHeight="1" x14ac:dyDescent="0.25">
      <c r="A77" s="30" t="s">
        <v>82</v>
      </c>
      <c r="M77" s="163"/>
      <c r="N77" s="163"/>
      <c r="O77" s="167"/>
      <c r="P77" s="167"/>
      <c r="Q77" s="167"/>
      <c r="R77" s="167"/>
      <c r="S77" s="167"/>
      <c r="T77" s="167"/>
      <c r="U77" s="167"/>
      <c r="V77" s="167"/>
      <c r="W77" s="86"/>
      <c r="X77" s="86"/>
      <c r="Y77" s="86"/>
      <c r="Z77" s="86"/>
      <c r="AA77" s="40"/>
      <c r="AB77" s="40"/>
      <c r="AC77" s="40"/>
    </row>
    <row r="78" spans="1:34" ht="12.75" customHeight="1" x14ac:dyDescent="0.25">
      <c r="B78" s="493" t="s">
        <v>83</v>
      </c>
      <c r="C78" s="494"/>
      <c r="D78" s="494"/>
      <c r="E78" s="494"/>
      <c r="F78" s="494"/>
      <c r="G78" s="494"/>
      <c r="H78" s="494"/>
      <c r="I78" s="494"/>
      <c r="J78" s="494"/>
      <c r="K78" s="494"/>
      <c r="L78" s="495"/>
      <c r="M78" s="163"/>
      <c r="N78" s="182">
        <v>0</v>
      </c>
      <c r="O78" s="183">
        <v>0</v>
      </c>
      <c r="P78" s="183">
        <v>0</v>
      </c>
      <c r="Q78" s="183">
        <v>0</v>
      </c>
      <c r="R78" s="183">
        <v>0</v>
      </c>
      <c r="S78" s="183">
        <v>0</v>
      </c>
      <c r="T78" s="183">
        <v>0</v>
      </c>
      <c r="U78" s="183">
        <v>0</v>
      </c>
      <c r="V78" s="183">
        <v>0</v>
      </c>
      <c r="W78" s="230">
        <f t="shared" ref="W78:W90" si="29">IF($B$12&gt;8,0,"")</f>
        <v>0</v>
      </c>
      <c r="X78" s="230">
        <f t="shared" ref="X78:X90" si="30">IF($B$12&gt;9,0,"")</f>
        <v>0</v>
      </c>
      <c r="Y78" s="230">
        <f t="shared" ref="Y78:Y90" si="31">IF($B$12&gt;10,0,"")</f>
        <v>0</v>
      </c>
      <c r="Z78" s="230">
        <f t="shared" ref="Z78:Z89" si="32">IF($B$12&gt;11,0,"")</f>
        <v>0</v>
      </c>
      <c r="AA78" s="230">
        <f t="shared" ref="AA78:AA90" si="33">IF($B$12&gt;12,0,"")</f>
        <v>0</v>
      </c>
      <c r="AB78" s="230">
        <f t="shared" ref="AB78:AB90" si="34">IF($B$12&gt;13,0,"")</f>
        <v>0</v>
      </c>
      <c r="AC78" s="230">
        <f t="shared" ref="AC78:AC90" si="35">IF($B$12&gt;14,0,"")</f>
        <v>0</v>
      </c>
      <c r="AD78" s="230">
        <f t="shared" ref="AD78:AD90" si="36">IF($B$12&gt;15,0,"")</f>
        <v>0</v>
      </c>
      <c r="AE78" s="230">
        <f t="shared" ref="AE78:AE90" si="37">IF($B$12&gt;16,0,"")</f>
        <v>0</v>
      </c>
      <c r="AF78" s="230">
        <f t="shared" ref="AF78:AF90" si="38">IF($B$12&gt;17,0,"")</f>
        <v>0</v>
      </c>
      <c r="AG78" s="230">
        <f t="shared" ref="AG78:AG90" si="39">IF($B$12&gt;18,0,"")</f>
        <v>0</v>
      </c>
      <c r="AH78" s="230">
        <f t="shared" ref="AH78:AH90" si="40">IF($B$12&gt;19,0,"")</f>
        <v>0</v>
      </c>
    </row>
    <row r="79" spans="1:34" ht="12.75" customHeight="1" x14ac:dyDescent="0.25">
      <c r="B79" s="490" t="s">
        <v>84</v>
      </c>
      <c r="C79" s="491"/>
      <c r="D79" s="491"/>
      <c r="E79" s="491"/>
      <c r="F79" s="491"/>
      <c r="G79" s="491"/>
      <c r="H79" s="491"/>
      <c r="I79" s="491"/>
      <c r="J79" s="491"/>
      <c r="K79" s="491"/>
      <c r="L79" s="492"/>
      <c r="M79" s="163"/>
      <c r="N79" s="184">
        <v>0</v>
      </c>
      <c r="O79" s="185">
        <v>0</v>
      </c>
      <c r="P79" s="185">
        <v>0</v>
      </c>
      <c r="Q79" s="185">
        <v>0</v>
      </c>
      <c r="R79" s="185">
        <v>0</v>
      </c>
      <c r="S79" s="185">
        <v>0</v>
      </c>
      <c r="T79" s="185">
        <v>0</v>
      </c>
      <c r="U79" s="185">
        <v>0</v>
      </c>
      <c r="V79" s="185">
        <v>0</v>
      </c>
      <c r="W79" s="230">
        <f t="shared" si="29"/>
        <v>0</v>
      </c>
      <c r="X79" s="230">
        <f t="shared" si="30"/>
        <v>0</v>
      </c>
      <c r="Y79" s="230">
        <f t="shared" si="31"/>
        <v>0</v>
      </c>
      <c r="Z79" s="230">
        <f t="shared" si="32"/>
        <v>0</v>
      </c>
      <c r="AA79" s="230">
        <f t="shared" si="33"/>
        <v>0</v>
      </c>
      <c r="AB79" s="230">
        <f t="shared" si="34"/>
        <v>0</v>
      </c>
      <c r="AC79" s="230">
        <f t="shared" si="35"/>
        <v>0</v>
      </c>
      <c r="AD79" s="230">
        <f t="shared" si="36"/>
        <v>0</v>
      </c>
      <c r="AE79" s="230">
        <f t="shared" si="37"/>
        <v>0</v>
      </c>
      <c r="AF79" s="230">
        <f t="shared" si="38"/>
        <v>0</v>
      </c>
      <c r="AG79" s="230">
        <f t="shared" si="39"/>
        <v>0</v>
      </c>
      <c r="AH79" s="230">
        <f t="shared" si="40"/>
        <v>0</v>
      </c>
    </row>
    <row r="80" spans="1:34" ht="12.75" customHeight="1" x14ac:dyDescent="0.25">
      <c r="B80" s="497" t="s">
        <v>85</v>
      </c>
      <c r="C80" s="498"/>
      <c r="D80" s="498"/>
      <c r="E80" s="498"/>
      <c r="F80" s="498"/>
      <c r="G80" s="498"/>
      <c r="H80" s="498"/>
      <c r="I80" s="498"/>
      <c r="J80" s="498"/>
      <c r="K80" s="498"/>
      <c r="L80" s="499"/>
      <c r="M80" s="163"/>
      <c r="N80" s="184">
        <v>0</v>
      </c>
      <c r="O80" s="185">
        <v>0</v>
      </c>
      <c r="P80" s="185">
        <v>0</v>
      </c>
      <c r="Q80" s="185">
        <v>0</v>
      </c>
      <c r="R80" s="185">
        <v>0</v>
      </c>
      <c r="S80" s="185">
        <v>0</v>
      </c>
      <c r="T80" s="185">
        <v>0</v>
      </c>
      <c r="U80" s="185">
        <v>0</v>
      </c>
      <c r="V80" s="185">
        <v>0</v>
      </c>
      <c r="W80" s="230">
        <f t="shared" si="29"/>
        <v>0</v>
      </c>
      <c r="X80" s="230">
        <f t="shared" si="30"/>
        <v>0</v>
      </c>
      <c r="Y80" s="230">
        <f t="shared" si="31"/>
        <v>0</v>
      </c>
      <c r="Z80" s="230">
        <f t="shared" si="32"/>
        <v>0</v>
      </c>
      <c r="AA80" s="230">
        <f t="shared" si="33"/>
        <v>0</v>
      </c>
      <c r="AB80" s="230">
        <f t="shared" si="34"/>
        <v>0</v>
      </c>
      <c r="AC80" s="230">
        <f t="shared" si="35"/>
        <v>0</v>
      </c>
      <c r="AD80" s="230">
        <f t="shared" si="36"/>
        <v>0</v>
      </c>
      <c r="AE80" s="230">
        <f t="shared" si="37"/>
        <v>0</v>
      </c>
      <c r="AF80" s="230">
        <f t="shared" si="38"/>
        <v>0</v>
      </c>
      <c r="AG80" s="230">
        <f t="shared" si="39"/>
        <v>0</v>
      </c>
      <c r="AH80" s="230">
        <f t="shared" si="40"/>
        <v>0</v>
      </c>
    </row>
    <row r="81" spans="1:34" ht="12.75" customHeight="1" x14ac:dyDescent="0.25">
      <c r="B81" s="497" t="s">
        <v>86</v>
      </c>
      <c r="C81" s="500"/>
      <c r="D81" s="500"/>
      <c r="E81" s="500"/>
      <c r="F81" s="500"/>
      <c r="G81" s="500"/>
      <c r="H81" s="500"/>
      <c r="I81" s="500"/>
      <c r="J81" s="500"/>
      <c r="K81" s="500"/>
      <c r="L81" s="501"/>
      <c r="M81" s="163"/>
      <c r="N81" s="184">
        <v>0</v>
      </c>
      <c r="O81" s="185">
        <v>0</v>
      </c>
      <c r="P81" s="185">
        <v>0</v>
      </c>
      <c r="Q81" s="185">
        <v>0</v>
      </c>
      <c r="R81" s="185">
        <v>0</v>
      </c>
      <c r="S81" s="185">
        <v>0</v>
      </c>
      <c r="T81" s="185">
        <v>0</v>
      </c>
      <c r="U81" s="185">
        <v>0</v>
      </c>
      <c r="V81" s="185">
        <v>0</v>
      </c>
      <c r="W81" s="230">
        <f t="shared" si="29"/>
        <v>0</v>
      </c>
      <c r="X81" s="230">
        <f t="shared" si="30"/>
        <v>0</v>
      </c>
      <c r="Y81" s="230">
        <f t="shared" si="31"/>
        <v>0</v>
      </c>
      <c r="Z81" s="230">
        <f t="shared" si="32"/>
        <v>0</v>
      </c>
      <c r="AA81" s="230">
        <f t="shared" si="33"/>
        <v>0</v>
      </c>
      <c r="AB81" s="230">
        <f t="shared" si="34"/>
        <v>0</v>
      </c>
      <c r="AC81" s="230">
        <f t="shared" si="35"/>
        <v>0</v>
      </c>
      <c r="AD81" s="230">
        <f t="shared" si="36"/>
        <v>0</v>
      </c>
      <c r="AE81" s="230">
        <f t="shared" si="37"/>
        <v>0</v>
      </c>
      <c r="AF81" s="230">
        <f t="shared" si="38"/>
        <v>0</v>
      </c>
      <c r="AG81" s="230">
        <f t="shared" si="39"/>
        <v>0</v>
      </c>
      <c r="AH81" s="230">
        <f t="shared" si="40"/>
        <v>0</v>
      </c>
    </row>
    <row r="82" spans="1:34" ht="12.75" customHeight="1" x14ac:dyDescent="0.25">
      <c r="A82" s="6"/>
      <c r="B82" s="497" t="s">
        <v>87</v>
      </c>
      <c r="C82" s="498"/>
      <c r="D82" s="498"/>
      <c r="E82" s="498"/>
      <c r="F82" s="498"/>
      <c r="G82" s="498"/>
      <c r="H82" s="498"/>
      <c r="I82" s="498"/>
      <c r="J82" s="498"/>
      <c r="K82" s="498"/>
      <c r="L82" s="499"/>
      <c r="M82" s="163"/>
      <c r="N82" s="184">
        <v>0</v>
      </c>
      <c r="O82" s="185">
        <v>0</v>
      </c>
      <c r="P82" s="185">
        <v>0</v>
      </c>
      <c r="Q82" s="185">
        <v>0</v>
      </c>
      <c r="R82" s="185">
        <v>0</v>
      </c>
      <c r="S82" s="185">
        <v>0</v>
      </c>
      <c r="T82" s="185">
        <v>0</v>
      </c>
      <c r="U82" s="185">
        <v>0</v>
      </c>
      <c r="V82" s="185">
        <v>0</v>
      </c>
      <c r="W82" s="230">
        <f t="shared" si="29"/>
        <v>0</v>
      </c>
      <c r="X82" s="230">
        <f t="shared" si="30"/>
        <v>0</v>
      </c>
      <c r="Y82" s="230">
        <f t="shared" si="31"/>
        <v>0</v>
      </c>
      <c r="Z82" s="230">
        <f t="shared" si="32"/>
        <v>0</v>
      </c>
      <c r="AA82" s="230">
        <f t="shared" si="33"/>
        <v>0</v>
      </c>
      <c r="AB82" s="230">
        <f t="shared" si="34"/>
        <v>0</v>
      </c>
      <c r="AC82" s="230">
        <f t="shared" si="35"/>
        <v>0</v>
      </c>
      <c r="AD82" s="230">
        <f t="shared" si="36"/>
        <v>0</v>
      </c>
      <c r="AE82" s="230">
        <f t="shared" si="37"/>
        <v>0</v>
      </c>
      <c r="AF82" s="230">
        <f t="shared" si="38"/>
        <v>0</v>
      </c>
      <c r="AG82" s="230">
        <f t="shared" si="39"/>
        <v>0</v>
      </c>
      <c r="AH82" s="230">
        <f t="shared" si="40"/>
        <v>0</v>
      </c>
    </row>
    <row r="83" spans="1:34" ht="12.75" customHeight="1" x14ac:dyDescent="0.25">
      <c r="B83" s="497" t="s">
        <v>88</v>
      </c>
      <c r="C83" s="498"/>
      <c r="D83" s="498"/>
      <c r="E83" s="498"/>
      <c r="F83" s="498"/>
      <c r="G83" s="498"/>
      <c r="H83" s="498"/>
      <c r="I83" s="498"/>
      <c r="J83" s="498"/>
      <c r="K83" s="498"/>
      <c r="L83" s="499"/>
      <c r="M83" s="163"/>
      <c r="N83" s="184">
        <v>0</v>
      </c>
      <c r="O83" s="185">
        <v>0</v>
      </c>
      <c r="P83" s="185">
        <v>0</v>
      </c>
      <c r="Q83" s="185">
        <v>0</v>
      </c>
      <c r="R83" s="185">
        <v>0</v>
      </c>
      <c r="S83" s="185">
        <v>0</v>
      </c>
      <c r="T83" s="185">
        <v>0</v>
      </c>
      <c r="U83" s="185">
        <v>0</v>
      </c>
      <c r="V83" s="185">
        <v>0</v>
      </c>
      <c r="W83" s="230">
        <f t="shared" si="29"/>
        <v>0</v>
      </c>
      <c r="X83" s="230">
        <f t="shared" si="30"/>
        <v>0</v>
      </c>
      <c r="Y83" s="230">
        <f t="shared" si="31"/>
        <v>0</v>
      </c>
      <c r="Z83" s="230">
        <f t="shared" si="32"/>
        <v>0</v>
      </c>
      <c r="AA83" s="230">
        <f t="shared" si="33"/>
        <v>0</v>
      </c>
      <c r="AB83" s="230">
        <f t="shared" si="34"/>
        <v>0</v>
      </c>
      <c r="AC83" s="230">
        <f t="shared" si="35"/>
        <v>0</v>
      </c>
      <c r="AD83" s="230">
        <f t="shared" si="36"/>
        <v>0</v>
      </c>
      <c r="AE83" s="230">
        <f t="shared" si="37"/>
        <v>0</v>
      </c>
      <c r="AF83" s="230">
        <f t="shared" si="38"/>
        <v>0</v>
      </c>
      <c r="AG83" s="230">
        <f t="shared" si="39"/>
        <v>0</v>
      </c>
      <c r="AH83" s="230">
        <f t="shared" si="40"/>
        <v>0</v>
      </c>
    </row>
    <row r="84" spans="1:34" ht="12.75" customHeight="1" x14ac:dyDescent="0.25">
      <c r="B84" s="490" t="s">
        <v>89</v>
      </c>
      <c r="C84" s="491"/>
      <c r="D84" s="491"/>
      <c r="E84" s="491"/>
      <c r="F84" s="491"/>
      <c r="G84" s="491"/>
      <c r="H84" s="491"/>
      <c r="I84" s="491"/>
      <c r="J84" s="491"/>
      <c r="K84" s="491"/>
      <c r="L84" s="492"/>
      <c r="M84" s="163"/>
      <c r="N84" s="184">
        <v>0</v>
      </c>
      <c r="O84" s="185">
        <v>0</v>
      </c>
      <c r="P84" s="185">
        <v>0</v>
      </c>
      <c r="Q84" s="185">
        <v>0</v>
      </c>
      <c r="R84" s="185">
        <v>0</v>
      </c>
      <c r="S84" s="185">
        <v>0</v>
      </c>
      <c r="T84" s="185">
        <v>0</v>
      </c>
      <c r="U84" s="185">
        <v>0</v>
      </c>
      <c r="V84" s="185">
        <v>0</v>
      </c>
      <c r="W84" s="230">
        <f t="shared" si="29"/>
        <v>0</v>
      </c>
      <c r="X84" s="230">
        <f t="shared" si="30"/>
        <v>0</v>
      </c>
      <c r="Y84" s="230">
        <f t="shared" si="31"/>
        <v>0</v>
      </c>
      <c r="Z84" s="230">
        <f t="shared" si="32"/>
        <v>0</v>
      </c>
      <c r="AA84" s="230">
        <f t="shared" si="33"/>
        <v>0</v>
      </c>
      <c r="AB84" s="230">
        <f t="shared" si="34"/>
        <v>0</v>
      </c>
      <c r="AC84" s="230">
        <f t="shared" si="35"/>
        <v>0</v>
      </c>
      <c r="AD84" s="230">
        <f t="shared" si="36"/>
        <v>0</v>
      </c>
      <c r="AE84" s="230">
        <f t="shared" si="37"/>
        <v>0</v>
      </c>
      <c r="AF84" s="230">
        <f t="shared" si="38"/>
        <v>0</v>
      </c>
      <c r="AG84" s="230">
        <f t="shared" si="39"/>
        <v>0</v>
      </c>
      <c r="AH84" s="230">
        <f t="shared" si="40"/>
        <v>0</v>
      </c>
    </row>
    <row r="85" spans="1:34" ht="12.75" customHeight="1" x14ac:dyDescent="0.25">
      <c r="B85" s="490" t="s">
        <v>90</v>
      </c>
      <c r="C85" s="500"/>
      <c r="D85" s="500"/>
      <c r="E85" s="500"/>
      <c r="F85" s="500"/>
      <c r="G85" s="500"/>
      <c r="H85" s="500"/>
      <c r="I85" s="500"/>
      <c r="J85" s="500"/>
      <c r="K85" s="500"/>
      <c r="L85" s="501"/>
      <c r="M85" s="163"/>
      <c r="N85" s="184">
        <v>0</v>
      </c>
      <c r="O85" s="185">
        <v>0</v>
      </c>
      <c r="P85" s="185">
        <v>0</v>
      </c>
      <c r="Q85" s="185">
        <v>0</v>
      </c>
      <c r="R85" s="185">
        <v>0</v>
      </c>
      <c r="S85" s="185">
        <v>0</v>
      </c>
      <c r="T85" s="185">
        <v>0</v>
      </c>
      <c r="U85" s="185">
        <v>0</v>
      </c>
      <c r="V85" s="185">
        <v>0</v>
      </c>
      <c r="W85" s="230">
        <f t="shared" si="29"/>
        <v>0</v>
      </c>
      <c r="X85" s="230">
        <f t="shared" si="30"/>
        <v>0</v>
      </c>
      <c r="Y85" s="230">
        <f t="shared" si="31"/>
        <v>0</v>
      </c>
      <c r="Z85" s="230">
        <f t="shared" si="32"/>
        <v>0</v>
      </c>
      <c r="AA85" s="230">
        <f t="shared" si="33"/>
        <v>0</v>
      </c>
      <c r="AB85" s="230">
        <f t="shared" si="34"/>
        <v>0</v>
      </c>
      <c r="AC85" s="230">
        <f t="shared" si="35"/>
        <v>0</v>
      </c>
      <c r="AD85" s="230">
        <f t="shared" si="36"/>
        <v>0</v>
      </c>
      <c r="AE85" s="230">
        <f t="shared" si="37"/>
        <v>0</v>
      </c>
      <c r="AF85" s="230">
        <f t="shared" si="38"/>
        <v>0</v>
      </c>
      <c r="AG85" s="230">
        <f t="shared" si="39"/>
        <v>0</v>
      </c>
      <c r="AH85" s="230">
        <f t="shared" si="40"/>
        <v>0</v>
      </c>
    </row>
    <row r="86" spans="1:34" ht="12.75" customHeight="1" x14ac:dyDescent="0.25">
      <c r="B86" s="490" t="s">
        <v>91</v>
      </c>
      <c r="C86" s="491"/>
      <c r="D86" s="491"/>
      <c r="E86" s="491"/>
      <c r="F86" s="491"/>
      <c r="G86" s="491"/>
      <c r="H86" s="491"/>
      <c r="I86" s="491"/>
      <c r="J86" s="491"/>
      <c r="K86" s="491"/>
      <c r="L86" s="492"/>
      <c r="M86" s="163"/>
      <c r="N86" s="184">
        <v>0</v>
      </c>
      <c r="O86" s="185">
        <v>0</v>
      </c>
      <c r="P86" s="185">
        <v>0</v>
      </c>
      <c r="Q86" s="185">
        <v>0</v>
      </c>
      <c r="R86" s="185">
        <v>0</v>
      </c>
      <c r="S86" s="185">
        <v>0</v>
      </c>
      <c r="T86" s="185">
        <v>0</v>
      </c>
      <c r="U86" s="185">
        <v>0</v>
      </c>
      <c r="V86" s="185">
        <v>0</v>
      </c>
      <c r="W86" s="230">
        <f t="shared" si="29"/>
        <v>0</v>
      </c>
      <c r="X86" s="230">
        <f t="shared" si="30"/>
        <v>0</v>
      </c>
      <c r="Y86" s="230">
        <f t="shared" si="31"/>
        <v>0</v>
      </c>
      <c r="Z86" s="230">
        <f t="shared" si="32"/>
        <v>0</v>
      </c>
      <c r="AA86" s="230">
        <f t="shared" si="33"/>
        <v>0</v>
      </c>
      <c r="AB86" s="230">
        <f t="shared" si="34"/>
        <v>0</v>
      </c>
      <c r="AC86" s="230">
        <f t="shared" si="35"/>
        <v>0</v>
      </c>
      <c r="AD86" s="230">
        <f t="shared" si="36"/>
        <v>0</v>
      </c>
      <c r="AE86" s="230">
        <f t="shared" si="37"/>
        <v>0</v>
      </c>
      <c r="AF86" s="230">
        <f t="shared" si="38"/>
        <v>0</v>
      </c>
      <c r="AG86" s="230">
        <f t="shared" si="39"/>
        <v>0</v>
      </c>
      <c r="AH86" s="230">
        <f t="shared" si="40"/>
        <v>0</v>
      </c>
    </row>
    <row r="87" spans="1:34" ht="12.75" customHeight="1" x14ac:dyDescent="0.25">
      <c r="B87" s="490" t="s">
        <v>92</v>
      </c>
      <c r="C87" s="491"/>
      <c r="D87" s="491"/>
      <c r="E87" s="491"/>
      <c r="F87" s="491"/>
      <c r="G87" s="491"/>
      <c r="H87" s="491"/>
      <c r="I87" s="491"/>
      <c r="J87" s="491"/>
      <c r="K87" s="491"/>
      <c r="L87" s="492"/>
      <c r="M87" s="163"/>
      <c r="N87" s="184">
        <v>0</v>
      </c>
      <c r="O87" s="185">
        <v>0</v>
      </c>
      <c r="P87" s="185">
        <v>0</v>
      </c>
      <c r="Q87" s="185">
        <v>0</v>
      </c>
      <c r="R87" s="185">
        <v>0</v>
      </c>
      <c r="S87" s="185">
        <v>0</v>
      </c>
      <c r="T87" s="185">
        <v>0</v>
      </c>
      <c r="U87" s="185">
        <v>0</v>
      </c>
      <c r="V87" s="185">
        <v>0</v>
      </c>
      <c r="W87" s="230">
        <f t="shared" si="29"/>
        <v>0</v>
      </c>
      <c r="X87" s="230">
        <f t="shared" si="30"/>
        <v>0</v>
      </c>
      <c r="Y87" s="230">
        <f t="shared" si="31"/>
        <v>0</v>
      </c>
      <c r="Z87" s="230">
        <f t="shared" si="32"/>
        <v>0</v>
      </c>
      <c r="AA87" s="230">
        <f t="shared" si="33"/>
        <v>0</v>
      </c>
      <c r="AB87" s="230">
        <f t="shared" si="34"/>
        <v>0</v>
      </c>
      <c r="AC87" s="230">
        <f t="shared" si="35"/>
        <v>0</v>
      </c>
      <c r="AD87" s="230">
        <f t="shared" si="36"/>
        <v>0</v>
      </c>
      <c r="AE87" s="230">
        <f t="shared" si="37"/>
        <v>0</v>
      </c>
      <c r="AF87" s="230">
        <f t="shared" si="38"/>
        <v>0</v>
      </c>
      <c r="AG87" s="230">
        <f t="shared" si="39"/>
        <v>0</v>
      </c>
      <c r="AH87" s="230">
        <f t="shared" si="40"/>
        <v>0</v>
      </c>
    </row>
    <row r="88" spans="1:34" ht="12.75" customHeight="1" x14ac:dyDescent="0.25">
      <c r="B88" s="497" t="s">
        <v>93</v>
      </c>
      <c r="C88" s="498"/>
      <c r="D88" s="498"/>
      <c r="E88" s="498"/>
      <c r="F88" s="498"/>
      <c r="G88" s="498"/>
      <c r="H88" s="498"/>
      <c r="I88" s="498"/>
      <c r="J88" s="498"/>
      <c r="K88" s="498"/>
      <c r="L88" s="499"/>
      <c r="M88" s="163"/>
      <c r="N88" s="184">
        <v>0</v>
      </c>
      <c r="O88" s="185">
        <v>0</v>
      </c>
      <c r="P88" s="185">
        <v>0</v>
      </c>
      <c r="Q88" s="185">
        <v>0</v>
      </c>
      <c r="R88" s="185">
        <v>0</v>
      </c>
      <c r="S88" s="185">
        <v>0</v>
      </c>
      <c r="T88" s="185">
        <v>0</v>
      </c>
      <c r="U88" s="185">
        <v>0</v>
      </c>
      <c r="V88" s="185">
        <v>0</v>
      </c>
      <c r="W88" s="230">
        <f t="shared" si="29"/>
        <v>0</v>
      </c>
      <c r="X88" s="230">
        <f t="shared" si="30"/>
        <v>0</v>
      </c>
      <c r="Y88" s="230">
        <f t="shared" si="31"/>
        <v>0</v>
      </c>
      <c r="Z88" s="230">
        <f t="shared" si="32"/>
        <v>0</v>
      </c>
      <c r="AA88" s="230">
        <f t="shared" si="33"/>
        <v>0</v>
      </c>
      <c r="AB88" s="230">
        <f t="shared" si="34"/>
        <v>0</v>
      </c>
      <c r="AC88" s="230">
        <f t="shared" si="35"/>
        <v>0</v>
      </c>
      <c r="AD88" s="230">
        <f t="shared" si="36"/>
        <v>0</v>
      </c>
      <c r="AE88" s="230">
        <f t="shared" si="37"/>
        <v>0</v>
      </c>
      <c r="AF88" s="230">
        <f t="shared" si="38"/>
        <v>0</v>
      </c>
      <c r="AG88" s="230">
        <f t="shared" si="39"/>
        <v>0</v>
      </c>
      <c r="AH88" s="230">
        <f t="shared" si="40"/>
        <v>0</v>
      </c>
    </row>
    <row r="89" spans="1:34" ht="12.75" customHeight="1" x14ac:dyDescent="0.25">
      <c r="B89" s="490" t="s">
        <v>94</v>
      </c>
      <c r="C89" s="491"/>
      <c r="D89" s="491"/>
      <c r="E89" s="491"/>
      <c r="F89" s="491"/>
      <c r="G89" s="491"/>
      <c r="H89" s="491"/>
      <c r="I89" s="491"/>
      <c r="J89" s="491"/>
      <c r="K89" s="491"/>
      <c r="L89" s="492"/>
      <c r="M89" s="163"/>
      <c r="N89" s="184">
        <v>0</v>
      </c>
      <c r="O89" s="185">
        <v>0</v>
      </c>
      <c r="P89" s="185">
        <v>0</v>
      </c>
      <c r="Q89" s="185">
        <v>0</v>
      </c>
      <c r="R89" s="185">
        <v>0</v>
      </c>
      <c r="S89" s="185">
        <v>0</v>
      </c>
      <c r="T89" s="185">
        <v>0</v>
      </c>
      <c r="U89" s="185">
        <v>0</v>
      </c>
      <c r="V89" s="185">
        <v>0</v>
      </c>
      <c r="W89" s="230">
        <f t="shared" si="29"/>
        <v>0</v>
      </c>
      <c r="X89" s="230">
        <f t="shared" si="30"/>
        <v>0</v>
      </c>
      <c r="Y89" s="230">
        <f t="shared" si="31"/>
        <v>0</v>
      </c>
      <c r="Z89" s="230">
        <f t="shared" si="32"/>
        <v>0</v>
      </c>
      <c r="AA89" s="230">
        <f t="shared" si="33"/>
        <v>0</v>
      </c>
      <c r="AB89" s="230">
        <f t="shared" si="34"/>
        <v>0</v>
      </c>
      <c r="AC89" s="230">
        <f t="shared" si="35"/>
        <v>0</v>
      </c>
      <c r="AD89" s="230">
        <f t="shared" si="36"/>
        <v>0</v>
      </c>
      <c r="AE89" s="230">
        <f t="shared" si="37"/>
        <v>0</v>
      </c>
      <c r="AF89" s="230">
        <f t="shared" si="38"/>
        <v>0</v>
      </c>
      <c r="AG89" s="230">
        <f t="shared" si="39"/>
        <v>0</v>
      </c>
      <c r="AH89" s="230">
        <f t="shared" si="40"/>
        <v>0</v>
      </c>
    </row>
    <row r="90" spans="1:34" ht="12.75" customHeight="1" x14ac:dyDescent="0.25">
      <c r="B90" s="502" t="s">
        <v>95</v>
      </c>
      <c r="C90" s="503"/>
      <c r="D90" s="503"/>
      <c r="E90" s="503"/>
      <c r="F90" s="503"/>
      <c r="G90" s="503"/>
      <c r="H90" s="503"/>
      <c r="I90" s="503"/>
      <c r="J90" s="503"/>
      <c r="K90" s="503"/>
      <c r="L90" s="504"/>
      <c r="M90" s="6"/>
      <c r="N90" s="90">
        <v>0</v>
      </c>
      <c r="O90" s="91">
        <v>0</v>
      </c>
      <c r="P90" s="91">
        <v>0</v>
      </c>
      <c r="Q90" s="91">
        <v>0</v>
      </c>
      <c r="R90" s="91">
        <v>0</v>
      </c>
      <c r="S90" s="91">
        <v>0</v>
      </c>
      <c r="T90" s="91">
        <v>0</v>
      </c>
      <c r="U90" s="91">
        <v>0</v>
      </c>
      <c r="V90" s="91">
        <v>0</v>
      </c>
      <c r="W90" s="230">
        <f t="shared" si="29"/>
        <v>0</v>
      </c>
      <c r="X90" s="230">
        <f t="shared" si="30"/>
        <v>0</v>
      </c>
      <c r="Y90" s="230">
        <f t="shared" si="31"/>
        <v>0</v>
      </c>
      <c r="Z90" s="230">
        <f>IF($B$12&gt;11,0,"")</f>
        <v>0</v>
      </c>
      <c r="AA90" s="230">
        <f t="shared" si="33"/>
        <v>0</v>
      </c>
      <c r="AB90" s="230">
        <f t="shared" si="34"/>
        <v>0</v>
      </c>
      <c r="AC90" s="230">
        <f t="shared" si="35"/>
        <v>0</v>
      </c>
      <c r="AD90" s="230">
        <f t="shared" si="36"/>
        <v>0</v>
      </c>
      <c r="AE90" s="230">
        <f t="shared" si="37"/>
        <v>0</v>
      </c>
      <c r="AF90" s="230">
        <f t="shared" si="38"/>
        <v>0</v>
      </c>
      <c r="AG90" s="230">
        <f t="shared" si="39"/>
        <v>0</v>
      </c>
      <c r="AH90" s="230">
        <f t="shared" si="40"/>
        <v>0</v>
      </c>
    </row>
    <row r="91" spans="1:34" s="30" customFormat="1" ht="12.75" customHeight="1" x14ac:dyDescent="0.2">
      <c r="B91" s="30" t="s">
        <v>82</v>
      </c>
      <c r="C91" s="43"/>
      <c r="D91" s="43"/>
      <c r="E91" s="43"/>
      <c r="F91" s="43"/>
      <c r="G91" s="43"/>
      <c r="H91" s="43"/>
      <c r="I91" s="43"/>
      <c r="J91" s="43"/>
      <c r="K91" s="43"/>
      <c r="L91" s="43"/>
      <c r="N91" s="42">
        <f t="shared" ref="N91:V91" si="41">SUM(N78:N90)</f>
        <v>0</v>
      </c>
      <c r="O91" s="42">
        <f t="shared" si="41"/>
        <v>0</v>
      </c>
      <c r="P91" s="42">
        <f t="shared" si="41"/>
        <v>0</v>
      </c>
      <c r="Q91" s="42">
        <f t="shared" si="41"/>
        <v>0</v>
      </c>
      <c r="R91" s="42">
        <f t="shared" si="41"/>
        <v>0</v>
      </c>
      <c r="S91" s="42">
        <f t="shared" si="41"/>
        <v>0</v>
      </c>
      <c r="T91" s="42">
        <f t="shared" si="41"/>
        <v>0</v>
      </c>
      <c r="U91" s="42">
        <f t="shared" si="41"/>
        <v>0</v>
      </c>
      <c r="V91" s="42">
        <f t="shared" si="41"/>
        <v>0</v>
      </c>
      <c r="W91" s="42">
        <f>IF($B$12&gt;8,SUM(W78:W90),"")</f>
        <v>0</v>
      </c>
      <c r="X91" s="42">
        <f>IF($B$12&gt;9,SUM(X78:X90),"")</f>
        <v>0</v>
      </c>
      <c r="Y91" s="42">
        <f>IF($B$12&gt;10,SUM(Y78:Y90),"")</f>
        <v>0</v>
      </c>
      <c r="Z91" s="42">
        <f>IF($B$12&gt;11,SUM(Z78:Z90),"")</f>
        <v>0</v>
      </c>
      <c r="AA91" s="42">
        <f>IF($B$12&gt;12,SUM(AA78:AA90),"")</f>
        <v>0</v>
      </c>
      <c r="AB91" s="42">
        <f>IF($B$12&gt;13,SUM(AB78:AB90),"")</f>
        <v>0</v>
      </c>
      <c r="AC91" s="42">
        <f>IF($B$12&gt;14,SUM(AC78:AC90),"")</f>
        <v>0</v>
      </c>
      <c r="AD91" s="42">
        <f>IF($B$12&gt;15,SUM(AD78:AD90),"")</f>
        <v>0</v>
      </c>
      <c r="AE91" s="42">
        <f>IF($B$12&gt;16,SUM(AE78:AE90),"")</f>
        <v>0</v>
      </c>
      <c r="AF91" s="42">
        <f>IF($B$12&gt;17,SUM(AF78:AF90),"")</f>
        <v>0</v>
      </c>
      <c r="AG91" s="42">
        <f>IF($B$12&gt;18,SUM(AG78:AG90),"")</f>
        <v>0</v>
      </c>
      <c r="AH91" s="42">
        <f>IF($B$12&gt;19,SUM(AH78:AH90),"")</f>
        <v>0</v>
      </c>
    </row>
    <row r="92" spans="1:34" s="30" customFormat="1" ht="12.75" customHeight="1" x14ac:dyDescent="0.2">
      <c r="B92" s="43"/>
      <c r="C92" s="43"/>
      <c r="D92" s="43"/>
      <c r="E92" s="43"/>
      <c r="F92" s="43"/>
      <c r="G92" s="43"/>
      <c r="H92" s="43"/>
      <c r="I92" s="43"/>
      <c r="J92" s="43"/>
      <c r="K92" s="43"/>
      <c r="L92" s="43"/>
      <c r="N92" s="42"/>
      <c r="O92" s="42"/>
      <c r="P92" s="42"/>
      <c r="Q92" s="42"/>
      <c r="R92" s="42"/>
      <c r="S92" s="42"/>
      <c r="T92" s="42"/>
      <c r="U92" s="42"/>
      <c r="V92" s="42"/>
      <c r="W92" s="157"/>
      <c r="X92" s="157"/>
      <c r="Y92" s="157"/>
      <c r="Z92" s="157"/>
      <c r="AA92" s="6"/>
      <c r="AB92" s="6"/>
      <c r="AC92" s="6"/>
    </row>
    <row r="93" spans="1:34" s="30" customFormat="1" ht="12.75" customHeight="1" x14ac:dyDescent="0.2">
      <c r="A93" s="30" t="str">
        <f>IF(Hulpblad_overig!B42=0,"Verwachte kosten (+) en opbrengsten (-) biomassa en bijproducten (€)","U vraagt niet aan voor biomassa, regels 94 t/m 106 kunt u overslaan!")</f>
        <v>U vraagt niet aan voor biomassa, regels 94 t/m 106 kunt u overslaan!</v>
      </c>
      <c r="B93" s="43"/>
      <c r="C93" s="43"/>
      <c r="D93" s="43"/>
      <c r="E93" s="43"/>
      <c r="F93" s="43"/>
      <c r="G93" s="43"/>
      <c r="H93" s="43"/>
      <c r="I93" s="43"/>
      <c r="J93" s="43"/>
      <c r="K93" s="43"/>
      <c r="L93" s="43"/>
      <c r="N93" s="43"/>
      <c r="O93" s="43"/>
      <c r="P93" s="43"/>
      <c r="Q93" s="43"/>
      <c r="R93" s="43"/>
      <c r="S93" s="43"/>
      <c r="T93" s="43"/>
      <c r="U93" s="43"/>
      <c r="V93" s="43"/>
      <c r="W93" s="11"/>
      <c r="X93" s="11"/>
      <c r="Y93" s="11"/>
      <c r="Z93" s="11"/>
      <c r="AA93" s="6"/>
      <c r="AB93" s="6"/>
      <c r="AC93" s="6"/>
    </row>
    <row r="94" spans="1:34" s="30" customFormat="1" ht="12.75" customHeight="1" x14ac:dyDescent="0.2">
      <c r="B94" s="43"/>
      <c r="C94" s="43"/>
      <c r="D94" s="43"/>
      <c r="E94" s="43"/>
      <c r="F94" s="43"/>
      <c r="G94" s="43"/>
      <c r="H94" s="43"/>
      <c r="I94" s="43"/>
      <c r="J94" s="43"/>
      <c r="K94" s="43"/>
      <c r="L94" s="43"/>
      <c r="N94" s="43"/>
      <c r="O94" s="43"/>
      <c r="P94" s="43"/>
      <c r="Q94" s="43"/>
      <c r="R94" s="43"/>
      <c r="S94" s="43"/>
      <c r="T94" s="43"/>
      <c r="U94" s="43"/>
      <c r="V94" s="43"/>
      <c r="W94" s="11"/>
      <c r="X94" s="11"/>
      <c r="Y94" s="11"/>
      <c r="Z94" s="11"/>
      <c r="AA94" s="6"/>
      <c r="AB94" s="6"/>
      <c r="AC94" s="6"/>
    </row>
    <row r="95" spans="1:34" s="30" customFormat="1" ht="12.75" customHeight="1" x14ac:dyDescent="0.2">
      <c r="B95" s="505" t="s">
        <v>96</v>
      </c>
      <c r="C95" s="505"/>
      <c r="D95" s="43"/>
      <c r="E95" s="43"/>
      <c r="F95" s="43"/>
      <c r="G95" s="43"/>
      <c r="H95" s="43"/>
      <c r="I95" s="43"/>
      <c r="J95" s="43"/>
      <c r="K95" s="43"/>
      <c r="L95" s="43"/>
      <c r="N95" s="43"/>
      <c r="O95" s="43"/>
      <c r="P95" s="43"/>
      <c r="Q95" s="43"/>
      <c r="R95" s="43"/>
      <c r="S95" s="43"/>
      <c r="T95" s="43"/>
      <c r="U95" s="43"/>
      <c r="V95" s="43"/>
      <c r="W95" s="11"/>
      <c r="X95" s="11"/>
      <c r="Y95" s="11"/>
      <c r="Z95" s="11"/>
      <c r="AA95" s="6"/>
      <c r="AB95" s="6"/>
      <c r="AC95" s="6"/>
    </row>
    <row r="96" spans="1:34" s="30" customFormat="1" ht="12.75" customHeight="1" x14ac:dyDescent="0.2">
      <c r="A96" s="12"/>
      <c r="B96" s="506"/>
      <c r="C96" s="506"/>
      <c r="D96" s="43"/>
      <c r="E96" s="12" t="s">
        <v>97</v>
      </c>
      <c r="F96" s="16"/>
      <c r="G96" s="43"/>
      <c r="H96" s="507" t="s">
        <v>98</v>
      </c>
      <c r="I96" s="507"/>
      <c r="J96" s="507"/>
      <c r="K96" s="12"/>
      <c r="L96" s="12" t="s">
        <v>99</v>
      </c>
      <c r="W96" s="6"/>
      <c r="X96" s="6"/>
      <c r="Y96" s="6"/>
      <c r="Z96" s="6"/>
      <c r="AA96" s="6"/>
      <c r="AB96" s="6"/>
      <c r="AC96" s="6"/>
    </row>
    <row r="97" spans="1:34" s="30" customFormat="1" ht="12.75" customHeight="1" x14ac:dyDescent="0.2">
      <c r="A97" s="158">
        <f>Hulpblad_overig!B42</f>
        <v>1</v>
      </c>
      <c r="B97" s="386"/>
      <c r="C97" s="388"/>
      <c r="D97" s="43"/>
      <c r="E97" s="197">
        <v>0</v>
      </c>
      <c r="F97" s="43"/>
      <c r="G97" s="43"/>
      <c r="H97" s="508">
        <v>0</v>
      </c>
      <c r="I97" s="509"/>
      <c r="J97" s="510"/>
      <c r="K97" s="43"/>
      <c r="L97" s="195">
        <v>0.02</v>
      </c>
      <c r="M97" s="68"/>
      <c r="N97" s="42"/>
      <c r="O97" s="57">
        <f>IF($A$97=0,(E97*H97),0)</f>
        <v>0</v>
      </c>
      <c r="P97" s="57">
        <f>O97*(1+$L97)</f>
        <v>0</v>
      </c>
      <c r="Q97" s="57">
        <f t="shared" ref="Q97:V97" si="42">P97*(1+$L97)</f>
        <v>0</v>
      </c>
      <c r="R97" s="57">
        <f t="shared" si="42"/>
        <v>0</v>
      </c>
      <c r="S97" s="57">
        <f t="shared" si="42"/>
        <v>0</v>
      </c>
      <c r="T97" s="57">
        <f t="shared" si="42"/>
        <v>0</v>
      </c>
      <c r="U97" s="57">
        <f t="shared" si="42"/>
        <v>0</v>
      </c>
      <c r="V97" s="57">
        <f t="shared" si="42"/>
        <v>0</v>
      </c>
      <c r="W97" s="57">
        <f t="shared" ref="W97:W106" si="43">IF($B$12&gt;8,V97*(1+$L97),"")</f>
        <v>0</v>
      </c>
      <c r="X97" s="57">
        <f>IF($B$12&gt;9,W97*(1+$L97),"")</f>
        <v>0</v>
      </c>
      <c r="Y97" s="57">
        <f>IF($B$12&gt;10,X97*(1+$L97),"")</f>
        <v>0</v>
      </c>
      <c r="Z97" s="57">
        <f>IF($B$12&gt;11,Y97*(1+$L97),"")</f>
        <v>0</v>
      </c>
      <c r="AA97" s="57">
        <f t="shared" ref="AA97" si="44">IF($B$12&gt;12,Z97*(1+$L97),"")</f>
        <v>0</v>
      </c>
      <c r="AB97" s="57">
        <f>IF($B$12&gt;13,AA97*(1+$L97),"")</f>
        <v>0</v>
      </c>
      <c r="AC97" s="57">
        <f>IF($B$12&gt;14,AB97*(1+$L97),"")</f>
        <v>0</v>
      </c>
      <c r="AD97" s="57">
        <f>IF($B$12&gt;15,AC97*(1+$L97),"")</f>
        <v>0</v>
      </c>
      <c r="AE97" s="57">
        <f>IF($B$12&gt;16,AD97*(1+$L97),"")</f>
        <v>0</v>
      </c>
      <c r="AF97" s="57">
        <f>IF($B$12&gt;17,AE97*(1+$L97),"")</f>
        <v>0</v>
      </c>
      <c r="AG97" s="57">
        <f>IF($B$12&gt;18,AF97*(1+$L97),"")</f>
        <v>0</v>
      </c>
      <c r="AH97" s="57">
        <f>IF($B$12&gt;19,AG97*(1+$L97),"")</f>
        <v>0</v>
      </c>
    </row>
    <row r="98" spans="1:34" s="30" customFormat="1" ht="12.75" customHeight="1" x14ac:dyDescent="0.2">
      <c r="B98" s="370"/>
      <c r="C98" s="372"/>
      <c r="D98" s="43"/>
      <c r="E98" s="10">
        <v>0</v>
      </c>
      <c r="F98" s="43"/>
      <c r="G98" s="43"/>
      <c r="H98" s="511">
        <v>0</v>
      </c>
      <c r="I98" s="512"/>
      <c r="J98" s="513"/>
      <c r="K98" s="43"/>
      <c r="L98" s="199">
        <v>0.02</v>
      </c>
      <c r="M98" s="68"/>
      <c r="N98" s="42"/>
      <c r="O98" s="57">
        <f t="shared" ref="O98:O106" si="45">IF($A$97=0,(E98*H98),0)</f>
        <v>0</v>
      </c>
      <c r="P98" s="57">
        <f t="shared" ref="P98:V106" si="46">O98*(1+$L98)</f>
        <v>0</v>
      </c>
      <c r="Q98" s="57">
        <f t="shared" si="46"/>
        <v>0</v>
      </c>
      <c r="R98" s="57">
        <f t="shared" si="46"/>
        <v>0</v>
      </c>
      <c r="S98" s="57">
        <f t="shared" si="46"/>
        <v>0</v>
      </c>
      <c r="T98" s="57">
        <f t="shared" si="46"/>
        <v>0</v>
      </c>
      <c r="U98" s="57">
        <f t="shared" si="46"/>
        <v>0</v>
      </c>
      <c r="V98" s="57">
        <f t="shared" si="46"/>
        <v>0</v>
      </c>
      <c r="W98" s="57">
        <f t="shared" si="43"/>
        <v>0</v>
      </c>
      <c r="X98" s="57">
        <f t="shared" ref="X98:X106" si="47">IF($B$12&gt;9,W98*(1+$L98),"")</f>
        <v>0</v>
      </c>
      <c r="Y98" s="57">
        <f t="shared" ref="Y98:Y106" si="48">IF($B$12&gt;10,X98*(1+$L98),"")</f>
        <v>0</v>
      </c>
      <c r="Z98" s="57">
        <f t="shared" ref="Z98:Z106" si="49">IF($B$12&gt;11,Y98*(1+$L98),"")</f>
        <v>0</v>
      </c>
      <c r="AA98" s="57">
        <f t="shared" ref="AA98:AA106" si="50">IF($B$12&gt;12,Z98*(1+$L98),"")</f>
        <v>0</v>
      </c>
      <c r="AB98" s="57">
        <f t="shared" ref="AB98:AB106" si="51">IF($B$12&gt;13,AA98*(1+$L98),"")</f>
        <v>0</v>
      </c>
      <c r="AC98" s="57">
        <f t="shared" ref="AC98:AC106" si="52">IF($B$12&gt;14,AB98*(1+$L98),"")</f>
        <v>0</v>
      </c>
      <c r="AD98" s="57">
        <f t="shared" ref="AD98:AD106" si="53">IF($B$12&gt;15,AC98*(1+$L98),"")</f>
        <v>0</v>
      </c>
      <c r="AE98" s="57">
        <f t="shared" ref="AE98:AE106" si="54">IF($B$12&gt;16,AD98*(1+$L98),"")</f>
        <v>0</v>
      </c>
      <c r="AF98" s="57">
        <f t="shared" ref="AF98:AF106" si="55">IF($B$12&gt;17,AE98*(1+$L98),"")</f>
        <v>0</v>
      </c>
      <c r="AG98" s="57">
        <f t="shared" ref="AG98:AG106" si="56">IF($B$12&gt;18,AF98*(1+$L98),"")</f>
        <v>0</v>
      </c>
      <c r="AH98" s="57">
        <f t="shared" ref="AH98:AH106" si="57">IF($B$12&gt;19,AG98*(1+$L98),"")</f>
        <v>0</v>
      </c>
    </row>
    <row r="99" spans="1:34" s="30" customFormat="1" ht="12.75" customHeight="1" x14ac:dyDescent="0.25">
      <c r="B99" s="370"/>
      <c r="C99" s="372"/>
      <c r="D99" s="43"/>
      <c r="E99" s="10">
        <v>0</v>
      </c>
      <c r="F99" s="43"/>
      <c r="G99" s="43"/>
      <c r="H99" s="514">
        <v>0</v>
      </c>
      <c r="I99" s="515"/>
      <c r="J99" s="516"/>
      <c r="K99" s="43"/>
      <c r="L99" s="199">
        <v>0.02</v>
      </c>
      <c r="M99" s="68"/>
      <c r="N99" s="42"/>
      <c r="O99" s="57">
        <f t="shared" si="45"/>
        <v>0</v>
      </c>
      <c r="P99" s="57">
        <f t="shared" si="46"/>
        <v>0</v>
      </c>
      <c r="Q99" s="57">
        <f t="shared" si="46"/>
        <v>0</v>
      </c>
      <c r="R99" s="57">
        <f t="shared" si="46"/>
        <v>0</v>
      </c>
      <c r="S99" s="57">
        <f t="shared" si="46"/>
        <v>0</v>
      </c>
      <c r="T99" s="57">
        <f t="shared" si="46"/>
        <v>0</v>
      </c>
      <c r="U99" s="57">
        <f t="shared" si="46"/>
        <v>0</v>
      </c>
      <c r="V99" s="57">
        <f t="shared" si="46"/>
        <v>0</v>
      </c>
      <c r="W99" s="57">
        <f t="shared" si="43"/>
        <v>0</v>
      </c>
      <c r="X99" s="57">
        <f t="shared" si="47"/>
        <v>0</v>
      </c>
      <c r="Y99" s="57">
        <f t="shared" si="48"/>
        <v>0</v>
      </c>
      <c r="Z99" s="57">
        <f t="shared" si="49"/>
        <v>0</v>
      </c>
      <c r="AA99" s="57">
        <f t="shared" si="50"/>
        <v>0</v>
      </c>
      <c r="AB99" s="57">
        <f t="shared" si="51"/>
        <v>0</v>
      </c>
      <c r="AC99" s="57">
        <f t="shared" si="52"/>
        <v>0</v>
      </c>
      <c r="AD99" s="57">
        <f t="shared" si="53"/>
        <v>0</v>
      </c>
      <c r="AE99" s="57">
        <f t="shared" si="54"/>
        <v>0</v>
      </c>
      <c r="AF99" s="57">
        <f t="shared" si="55"/>
        <v>0</v>
      </c>
      <c r="AG99" s="57">
        <f t="shared" si="56"/>
        <v>0</v>
      </c>
      <c r="AH99" s="57">
        <f t="shared" si="57"/>
        <v>0</v>
      </c>
    </row>
    <row r="100" spans="1:34" s="30" customFormat="1" ht="12.75" customHeight="1" x14ac:dyDescent="0.25">
      <c r="B100" s="370"/>
      <c r="C100" s="372"/>
      <c r="D100" s="43"/>
      <c r="E100" s="10">
        <v>0</v>
      </c>
      <c r="F100" s="43"/>
      <c r="G100" s="43"/>
      <c r="H100" s="514">
        <v>0</v>
      </c>
      <c r="I100" s="515"/>
      <c r="J100" s="516"/>
      <c r="K100" s="43"/>
      <c r="L100" s="199">
        <v>0.02</v>
      </c>
      <c r="M100" s="68"/>
      <c r="N100" s="42"/>
      <c r="O100" s="57">
        <f t="shared" si="45"/>
        <v>0</v>
      </c>
      <c r="P100" s="57">
        <f t="shared" si="46"/>
        <v>0</v>
      </c>
      <c r="Q100" s="57">
        <f t="shared" si="46"/>
        <v>0</v>
      </c>
      <c r="R100" s="57">
        <f t="shared" si="46"/>
        <v>0</v>
      </c>
      <c r="S100" s="57">
        <f t="shared" si="46"/>
        <v>0</v>
      </c>
      <c r="T100" s="57">
        <f t="shared" si="46"/>
        <v>0</v>
      </c>
      <c r="U100" s="57">
        <f t="shared" si="46"/>
        <v>0</v>
      </c>
      <c r="V100" s="57">
        <f t="shared" si="46"/>
        <v>0</v>
      </c>
      <c r="W100" s="57">
        <f t="shared" si="43"/>
        <v>0</v>
      </c>
      <c r="X100" s="57">
        <f t="shared" si="47"/>
        <v>0</v>
      </c>
      <c r="Y100" s="57">
        <f t="shared" si="48"/>
        <v>0</v>
      </c>
      <c r="Z100" s="57">
        <f t="shared" si="49"/>
        <v>0</v>
      </c>
      <c r="AA100" s="57">
        <f t="shared" si="50"/>
        <v>0</v>
      </c>
      <c r="AB100" s="57">
        <f t="shared" si="51"/>
        <v>0</v>
      </c>
      <c r="AC100" s="57">
        <f t="shared" si="52"/>
        <v>0</v>
      </c>
      <c r="AD100" s="57">
        <f t="shared" si="53"/>
        <v>0</v>
      </c>
      <c r="AE100" s="57">
        <f t="shared" si="54"/>
        <v>0</v>
      </c>
      <c r="AF100" s="57">
        <f t="shared" si="55"/>
        <v>0</v>
      </c>
      <c r="AG100" s="57">
        <f t="shared" si="56"/>
        <v>0</v>
      </c>
      <c r="AH100" s="57">
        <f t="shared" si="57"/>
        <v>0</v>
      </c>
    </row>
    <row r="101" spans="1:34" s="30" customFormat="1" ht="12.75" customHeight="1" x14ac:dyDescent="0.25">
      <c r="B101" s="370"/>
      <c r="C101" s="372"/>
      <c r="D101" s="43"/>
      <c r="E101" s="10">
        <v>0</v>
      </c>
      <c r="F101" s="43"/>
      <c r="G101" s="43"/>
      <c r="H101" s="514">
        <v>0</v>
      </c>
      <c r="I101" s="515"/>
      <c r="J101" s="516"/>
      <c r="K101" s="43"/>
      <c r="L101" s="199">
        <v>0.02</v>
      </c>
      <c r="M101" s="68"/>
      <c r="N101" s="42"/>
      <c r="O101" s="57">
        <f t="shared" si="45"/>
        <v>0</v>
      </c>
      <c r="P101" s="57">
        <f t="shared" si="46"/>
        <v>0</v>
      </c>
      <c r="Q101" s="57">
        <f t="shared" si="46"/>
        <v>0</v>
      </c>
      <c r="R101" s="57">
        <f t="shared" si="46"/>
        <v>0</v>
      </c>
      <c r="S101" s="57">
        <f t="shared" si="46"/>
        <v>0</v>
      </c>
      <c r="T101" s="57">
        <f t="shared" si="46"/>
        <v>0</v>
      </c>
      <c r="U101" s="57">
        <f t="shared" si="46"/>
        <v>0</v>
      </c>
      <c r="V101" s="57">
        <f t="shared" si="46"/>
        <v>0</v>
      </c>
      <c r="W101" s="57">
        <f t="shared" si="43"/>
        <v>0</v>
      </c>
      <c r="X101" s="57">
        <f t="shared" si="47"/>
        <v>0</v>
      </c>
      <c r="Y101" s="57">
        <f t="shared" si="48"/>
        <v>0</v>
      </c>
      <c r="Z101" s="57">
        <f t="shared" si="49"/>
        <v>0</v>
      </c>
      <c r="AA101" s="57">
        <f t="shared" si="50"/>
        <v>0</v>
      </c>
      <c r="AB101" s="57">
        <f t="shared" si="51"/>
        <v>0</v>
      </c>
      <c r="AC101" s="57">
        <f t="shared" si="52"/>
        <v>0</v>
      </c>
      <c r="AD101" s="57">
        <f t="shared" si="53"/>
        <v>0</v>
      </c>
      <c r="AE101" s="57">
        <f t="shared" si="54"/>
        <v>0</v>
      </c>
      <c r="AF101" s="57">
        <f t="shared" si="55"/>
        <v>0</v>
      </c>
      <c r="AG101" s="57">
        <f t="shared" si="56"/>
        <v>0</v>
      </c>
      <c r="AH101" s="57">
        <f t="shared" si="57"/>
        <v>0</v>
      </c>
    </row>
    <row r="102" spans="1:34" s="30" customFormat="1" ht="12.75" customHeight="1" x14ac:dyDescent="0.25">
      <c r="B102" s="370"/>
      <c r="C102" s="372"/>
      <c r="D102" s="43"/>
      <c r="E102" s="10">
        <v>0</v>
      </c>
      <c r="F102" s="43"/>
      <c r="G102" s="43"/>
      <c r="H102" s="514">
        <v>0</v>
      </c>
      <c r="I102" s="515"/>
      <c r="J102" s="516"/>
      <c r="K102" s="43"/>
      <c r="L102" s="199">
        <v>0.02</v>
      </c>
      <c r="M102" s="68"/>
      <c r="N102" s="42"/>
      <c r="O102" s="57">
        <f t="shared" si="45"/>
        <v>0</v>
      </c>
      <c r="P102" s="57">
        <f t="shared" si="46"/>
        <v>0</v>
      </c>
      <c r="Q102" s="57">
        <f t="shared" si="46"/>
        <v>0</v>
      </c>
      <c r="R102" s="57">
        <f t="shared" si="46"/>
        <v>0</v>
      </c>
      <c r="S102" s="57">
        <f t="shared" si="46"/>
        <v>0</v>
      </c>
      <c r="T102" s="57">
        <f t="shared" si="46"/>
        <v>0</v>
      </c>
      <c r="U102" s="57">
        <f t="shared" si="46"/>
        <v>0</v>
      </c>
      <c r="V102" s="57">
        <f t="shared" si="46"/>
        <v>0</v>
      </c>
      <c r="W102" s="57">
        <f t="shared" si="43"/>
        <v>0</v>
      </c>
      <c r="X102" s="57">
        <f t="shared" si="47"/>
        <v>0</v>
      </c>
      <c r="Y102" s="57">
        <f t="shared" si="48"/>
        <v>0</v>
      </c>
      <c r="Z102" s="57">
        <f t="shared" si="49"/>
        <v>0</v>
      </c>
      <c r="AA102" s="57">
        <f t="shared" si="50"/>
        <v>0</v>
      </c>
      <c r="AB102" s="57">
        <f t="shared" si="51"/>
        <v>0</v>
      </c>
      <c r="AC102" s="57">
        <f t="shared" si="52"/>
        <v>0</v>
      </c>
      <c r="AD102" s="57">
        <f t="shared" si="53"/>
        <v>0</v>
      </c>
      <c r="AE102" s="57">
        <f t="shared" si="54"/>
        <v>0</v>
      </c>
      <c r="AF102" s="57">
        <f t="shared" si="55"/>
        <v>0</v>
      </c>
      <c r="AG102" s="57">
        <f t="shared" si="56"/>
        <v>0</v>
      </c>
      <c r="AH102" s="57">
        <f t="shared" si="57"/>
        <v>0</v>
      </c>
    </row>
    <row r="103" spans="1:34" s="30" customFormat="1" ht="12.75" customHeight="1" x14ac:dyDescent="0.2">
      <c r="B103" s="370"/>
      <c r="C103" s="372"/>
      <c r="D103" s="43"/>
      <c r="E103" s="10">
        <v>0</v>
      </c>
      <c r="F103" s="43"/>
      <c r="G103" s="43"/>
      <c r="H103" s="511">
        <v>0</v>
      </c>
      <c r="I103" s="512"/>
      <c r="J103" s="513"/>
      <c r="K103" s="43"/>
      <c r="L103" s="199">
        <v>0.02</v>
      </c>
      <c r="M103" s="68"/>
      <c r="N103" s="42"/>
      <c r="O103" s="57">
        <f t="shared" si="45"/>
        <v>0</v>
      </c>
      <c r="P103" s="57">
        <f t="shared" si="46"/>
        <v>0</v>
      </c>
      <c r="Q103" s="57">
        <f t="shared" si="46"/>
        <v>0</v>
      </c>
      <c r="R103" s="57">
        <f t="shared" si="46"/>
        <v>0</v>
      </c>
      <c r="S103" s="57">
        <f t="shared" si="46"/>
        <v>0</v>
      </c>
      <c r="T103" s="57">
        <f t="shared" si="46"/>
        <v>0</v>
      </c>
      <c r="U103" s="57">
        <f t="shared" si="46"/>
        <v>0</v>
      </c>
      <c r="V103" s="57">
        <f t="shared" si="46"/>
        <v>0</v>
      </c>
      <c r="W103" s="57">
        <f t="shared" si="43"/>
        <v>0</v>
      </c>
      <c r="X103" s="57">
        <f t="shared" si="47"/>
        <v>0</v>
      </c>
      <c r="Y103" s="57">
        <f t="shared" si="48"/>
        <v>0</v>
      </c>
      <c r="Z103" s="57">
        <f t="shared" si="49"/>
        <v>0</v>
      </c>
      <c r="AA103" s="57">
        <f t="shared" si="50"/>
        <v>0</v>
      </c>
      <c r="AB103" s="57">
        <f t="shared" si="51"/>
        <v>0</v>
      </c>
      <c r="AC103" s="57">
        <f t="shared" si="52"/>
        <v>0</v>
      </c>
      <c r="AD103" s="57">
        <f t="shared" si="53"/>
        <v>0</v>
      </c>
      <c r="AE103" s="57">
        <f t="shared" si="54"/>
        <v>0</v>
      </c>
      <c r="AF103" s="57">
        <f t="shared" si="55"/>
        <v>0</v>
      </c>
      <c r="AG103" s="57">
        <f t="shared" si="56"/>
        <v>0</v>
      </c>
      <c r="AH103" s="57">
        <f t="shared" si="57"/>
        <v>0</v>
      </c>
    </row>
    <row r="104" spans="1:34" s="30" customFormat="1" ht="12.75" customHeight="1" x14ac:dyDescent="0.2">
      <c r="B104" s="370"/>
      <c r="C104" s="372"/>
      <c r="D104" s="43"/>
      <c r="E104" s="10">
        <v>0</v>
      </c>
      <c r="F104" s="43"/>
      <c r="G104" s="43"/>
      <c r="H104" s="511">
        <v>0</v>
      </c>
      <c r="I104" s="512"/>
      <c r="J104" s="513"/>
      <c r="K104" s="43"/>
      <c r="L104" s="199">
        <v>0.02</v>
      </c>
      <c r="M104" s="68"/>
      <c r="N104" s="42"/>
      <c r="O104" s="57">
        <f t="shared" si="45"/>
        <v>0</v>
      </c>
      <c r="P104" s="57">
        <f t="shared" si="46"/>
        <v>0</v>
      </c>
      <c r="Q104" s="57">
        <f t="shared" si="46"/>
        <v>0</v>
      </c>
      <c r="R104" s="57">
        <f t="shared" si="46"/>
        <v>0</v>
      </c>
      <c r="S104" s="57">
        <f t="shared" si="46"/>
        <v>0</v>
      </c>
      <c r="T104" s="57">
        <f t="shared" si="46"/>
        <v>0</v>
      </c>
      <c r="U104" s="57">
        <f t="shared" si="46"/>
        <v>0</v>
      </c>
      <c r="V104" s="57">
        <f t="shared" si="46"/>
        <v>0</v>
      </c>
      <c r="W104" s="57">
        <f t="shared" si="43"/>
        <v>0</v>
      </c>
      <c r="X104" s="57">
        <f t="shared" si="47"/>
        <v>0</v>
      </c>
      <c r="Y104" s="57">
        <f t="shared" si="48"/>
        <v>0</v>
      </c>
      <c r="Z104" s="57">
        <f t="shared" si="49"/>
        <v>0</v>
      </c>
      <c r="AA104" s="57">
        <f t="shared" si="50"/>
        <v>0</v>
      </c>
      <c r="AB104" s="57">
        <f t="shared" si="51"/>
        <v>0</v>
      </c>
      <c r="AC104" s="57">
        <f t="shared" si="52"/>
        <v>0</v>
      </c>
      <c r="AD104" s="57">
        <f t="shared" si="53"/>
        <v>0</v>
      </c>
      <c r="AE104" s="57">
        <f t="shared" si="54"/>
        <v>0</v>
      </c>
      <c r="AF104" s="57">
        <f t="shared" si="55"/>
        <v>0</v>
      </c>
      <c r="AG104" s="57">
        <f t="shared" si="56"/>
        <v>0</v>
      </c>
      <c r="AH104" s="57">
        <f t="shared" si="57"/>
        <v>0</v>
      </c>
    </row>
    <row r="105" spans="1:34" s="30" customFormat="1" ht="12.75" customHeight="1" x14ac:dyDescent="0.2">
      <c r="B105" s="370"/>
      <c r="C105" s="372"/>
      <c r="D105" s="43"/>
      <c r="E105" s="10">
        <v>0</v>
      </c>
      <c r="F105" s="43"/>
      <c r="G105" s="43"/>
      <c r="H105" s="511">
        <v>0</v>
      </c>
      <c r="I105" s="512"/>
      <c r="J105" s="513"/>
      <c r="K105" s="43"/>
      <c r="L105" s="199">
        <v>0.02</v>
      </c>
      <c r="M105" s="68"/>
      <c r="N105" s="42"/>
      <c r="O105" s="57">
        <f t="shared" si="45"/>
        <v>0</v>
      </c>
      <c r="P105" s="57">
        <f t="shared" si="46"/>
        <v>0</v>
      </c>
      <c r="Q105" s="57">
        <f t="shared" si="46"/>
        <v>0</v>
      </c>
      <c r="R105" s="57">
        <f t="shared" si="46"/>
        <v>0</v>
      </c>
      <c r="S105" s="57">
        <f t="shared" si="46"/>
        <v>0</v>
      </c>
      <c r="T105" s="57">
        <f t="shared" si="46"/>
        <v>0</v>
      </c>
      <c r="U105" s="57">
        <f t="shared" si="46"/>
        <v>0</v>
      </c>
      <c r="V105" s="57">
        <f t="shared" si="46"/>
        <v>0</v>
      </c>
      <c r="W105" s="57">
        <f t="shared" si="43"/>
        <v>0</v>
      </c>
      <c r="X105" s="57">
        <f t="shared" si="47"/>
        <v>0</v>
      </c>
      <c r="Y105" s="57">
        <f t="shared" si="48"/>
        <v>0</v>
      </c>
      <c r="Z105" s="57">
        <f t="shared" si="49"/>
        <v>0</v>
      </c>
      <c r="AA105" s="57">
        <f t="shared" si="50"/>
        <v>0</v>
      </c>
      <c r="AB105" s="57">
        <f t="shared" si="51"/>
        <v>0</v>
      </c>
      <c r="AC105" s="57">
        <f t="shared" si="52"/>
        <v>0</v>
      </c>
      <c r="AD105" s="57">
        <f t="shared" si="53"/>
        <v>0</v>
      </c>
      <c r="AE105" s="57">
        <f t="shared" si="54"/>
        <v>0</v>
      </c>
      <c r="AF105" s="57">
        <f t="shared" si="55"/>
        <v>0</v>
      </c>
      <c r="AG105" s="57">
        <f t="shared" si="56"/>
        <v>0</v>
      </c>
      <c r="AH105" s="57">
        <f t="shared" si="57"/>
        <v>0</v>
      </c>
    </row>
    <row r="106" spans="1:34" s="30" customFormat="1" ht="12.75" customHeight="1" x14ac:dyDescent="0.2">
      <c r="B106" s="391"/>
      <c r="C106" s="517"/>
      <c r="D106" s="43"/>
      <c r="E106" s="198">
        <v>0</v>
      </c>
      <c r="F106" s="43"/>
      <c r="G106" s="43"/>
      <c r="H106" s="518">
        <v>0</v>
      </c>
      <c r="I106" s="519"/>
      <c r="J106" s="520"/>
      <c r="K106" s="43"/>
      <c r="L106" s="196">
        <v>0.02</v>
      </c>
      <c r="N106" s="42"/>
      <c r="O106" s="57">
        <f t="shared" si="45"/>
        <v>0</v>
      </c>
      <c r="P106" s="57">
        <f t="shared" si="46"/>
        <v>0</v>
      </c>
      <c r="Q106" s="57">
        <f t="shared" si="46"/>
        <v>0</v>
      </c>
      <c r="R106" s="57">
        <f t="shared" si="46"/>
        <v>0</v>
      </c>
      <c r="S106" s="57">
        <f t="shared" si="46"/>
        <v>0</v>
      </c>
      <c r="T106" s="57">
        <f t="shared" si="46"/>
        <v>0</v>
      </c>
      <c r="U106" s="57">
        <f t="shared" si="46"/>
        <v>0</v>
      </c>
      <c r="V106" s="57">
        <f t="shared" si="46"/>
        <v>0</v>
      </c>
      <c r="W106" s="57">
        <f t="shared" si="43"/>
        <v>0</v>
      </c>
      <c r="X106" s="57">
        <f t="shared" si="47"/>
        <v>0</v>
      </c>
      <c r="Y106" s="57">
        <f t="shared" si="48"/>
        <v>0</v>
      </c>
      <c r="Z106" s="57">
        <f t="shared" si="49"/>
        <v>0</v>
      </c>
      <c r="AA106" s="57">
        <f t="shared" si="50"/>
        <v>0</v>
      </c>
      <c r="AB106" s="57">
        <f t="shared" si="51"/>
        <v>0</v>
      </c>
      <c r="AC106" s="57">
        <f t="shared" si="52"/>
        <v>0</v>
      </c>
      <c r="AD106" s="57">
        <f t="shared" si="53"/>
        <v>0</v>
      </c>
      <c r="AE106" s="57">
        <f t="shared" si="54"/>
        <v>0</v>
      </c>
      <c r="AF106" s="57">
        <f t="shared" si="55"/>
        <v>0</v>
      </c>
      <c r="AG106" s="57">
        <f t="shared" si="56"/>
        <v>0</v>
      </c>
      <c r="AH106" s="57">
        <f t="shared" si="57"/>
        <v>0</v>
      </c>
    </row>
    <row r="107" spans="1:34" s="30" customFormat="1" ht="12.75" customHeight="1" x14ac:dyDescent="0.2">
      <c r="B107" s="30" t="s">
        <v>100</v>
      </c>
      <c r="C107" s="43"/>
      <c r="D107" s="43"/>
      <c r="E107" s="43"/>
      <c r="F107" s="43"/>
      <c r="G107" s="43"/>
      <c r="H107" s="43"/>
      <c r="I107" s="43"/>
      <c r="L107" s="43"/>
      <c r="N107" s="42"/>
      <c r="O107" s="9">
        <f t="shared" ref="O107:V107" si="58">SUM(O97:O106)</f>
        <v>0</v>
      </c>
      <c r="P107" s="42">
        <f t="shared" si="58"/>
        <v>0</v>
      </c>
      <c r="Q107" s="42">
        <f t="shared" si="58"/>
        <v>0</v>
      </c>
      <c r="R107" s="42">
        <f t="shared" si="58"/>
        <v>0</v>
      </c>
      <c r="S107" s="42">
        <f t="shared" si="58"/>
        <v>0</v>
      </c>
      <c r="T107" s="42">
        <f t="shared" si="58"/>
        <v>0</v>
      </c>
      <c r="U107" s="42">
        <f t="shared" si="58"/>
        <v>0</v>
      </c>
      <c r="V107" s="42">
        <f t="shared" si="58"/>
        <v>0</v>
      </c>
      <c r="W107" s="42">
        <f>IF($B$12&gt;8,SUM(W97:W106),"")</f>
        <v>0</v>
      </c>
      <c r="X107" s="42">
        <f>IF($B$12&gt;9,SUM(X97:X106),"")</f>
        <v>0</v>
      </c>
      <c r="Y107" s="42">
        <f>IF($B$12&gt;10,SUM(Y97:Y106),"")</f>
        <v>0</v>
      </c>
      <c r="Z107" s="42">
        <f>IF($B$12&gt;11,SUM(Z97:Z106),"")</f>
        <v>0</v>
      </c>
      <c r="AA107" s="42">
        <f>IF($B$12&gt;12,SUM(AA97:AA106),"")</f>
        <v>0</v>
      </c>
      <c r="AB107" s="42">
        <f>IF($B$12&gt;13,SUM(AB97:AB106),"")</f>
        <v>0</v>
      </c>
      <c r="AC107" s="42">
        <f>IF($B$12&gt;14,SUM(AC97:AC106),"")</f>
        <v>0</v>
      </c>
      <c r="AD107" s="42">
        <f>IF($B$12&gt;15,SUM(AD97:AD106),"")</f>
        <v>0</v>
      </c>
      <c r="AE107" s="42">
        <f>IF($B$12&gt;16,SUM(AE97:AE106),"")</f>
        <v>0</v>
      </c>
      <c r="AF107" s="42">
        <f>IF($B$12&gt;17,SUM(AF97:AF106),"")</f>
        <v>0</v>
      </c>
      <c r="AG107" s="42">
        <f>IF($B$12&gt;18,SUM(AG97:AG106),"")</f>
        <v>0</v>
      </c>
      <c r="AH107" s="42">
        <f>IF($B$12&gt;19,SUM(AH97:AH106),"")</f>
        <v>0</v>
      </c>
    </row>
    <row r="108" spans="1:34" s="30" customFormat="1" ht="12.75" customHeight="1" x14ac:dyDescent="0.2">
      <c r="C108" s="43"/>
      <c r="D108" s="43"/>
      <c r="E108" s="43"/>
      <c r="F108" s="43"/>
      <c r="G108" s="43"/>
      <c r="H108" s="43"/>
      <c r="I108" s="43"/>
      <c r="L108" s="43"/>
      <c r="N108" s="42"/>
      <c r="O108" s="9"/>
      <c r="P108" s="42"/>
      <c r="Q108" s="42"/>
      <c r="R108" s="42"/>
      <c r="S108" s="42"/>
      <c r="T108" s="42"/>
      <c r="U108" s="42"/>
      <c r="V108" s="42"/>
      <c r="W108" s="157"/>
      <c r="X108" s="157"/>
      <c r="Y108" s="157"/>
      <c r="Z108" s="157"/>
      <c r="AA108" s="157"/>
      <c r="AB108" s="157"/>
      <c r="AC108" s="157"/>
    </row>
    <row r="109" spans="1:34" s="30" customFormat="1" ht="12.75" customHeight="1" x14ac:dyDescent="0.2">
      <c r="A109" s="30" t="str">
        <f>IF(Hulpblad_overig!B45=0,"Verwachte kosten (+) en opbrengsten (-) CO₂ transport en opslag (€)","U vraagt niet aan voor CO₂ afvang- en opslag, regels 110 t/m 113 kunt u overslaan!")</f>
        <v>U vraagt niet aan voor CO₂ afvang- en opslag, regels 110 t/m 113 kunt u overslaan!</v>
      </c>
      <c r="C109" s="43"/>
      <c r="D109" s="43"/>
      <c r="E109" s="43"/>
      <c r="F109" s="43"/>
      <c r="G109" s="43"/>
      <c r="H109" s="43"/>
      <c r="I109" s="43"/>
      <c r="L109" s="43"/>
      <c r="N109" s="42"/>
      <c r="O109" s="9"/>
      <c r="P109" s="42"/>
      <c r="Q109" s="42"/>
      <c r="R109" s="42"/>
      <c r="S109" s="42"/>
      <c r="T109" s="42"/>
      <c r="U109" s="42"/>
      <c r="V109" s="42"/>
      <c r="W109" s="157"/>
      <c r="X109" s="157"/>
      <c r="Y109" s="157"/>
      <c r="Z109" s="157"/>
      <c r="AA109" s="157"/>
      <c r="AB109" s="157"/>
      <c r="AC109" s="157"/>
    </row>
    <row r="110" spans="1:34" s="30" customFormat="1" ht="12.75" customHeight="1" x14ac:dyDescent="0.2">
      <c r="B110" s="462" t="s">
        <v>101</v>
      </c>
      <c r="C110" s="462"/>
      <c r="D110" s="43"/>
      <c r="E110" s="43"/>
      <c r="F110" s="43"/>
      <c r="G110" s="43"/>
      <c r="H110" s="43"/>
      <c r="I110" s="43"/>
      <c r="L110" s="43"/>
      <c r="N110" s="42"/>
      <c r="O110" s="9"/>
      <c r="P110" s="42"/>
      <c r="Q110" s="42"/>
      <c r="R110" s="42"/>
      <c r="S110" s="42"/>
      <c r="T110" s="42"/>
      <c r="U110" s="42"/>
      <c r="V110" s="42"/>
      <c r="W110" s="157"/>
      <c r="X110" s="157"/>
      <c r="Y110" s="157"/>
      <c r="Z110" s="157"/>
      <c r="AA110" s="157"/>
      <c r="AB110" s="157"/>
      <c r="AC110" s="157"/>
    </row>
    <row r="111" spans="1:34" s="30" customFormat="1" ht="12.75" customHeight="1" x14ac:dyDescent="0.2">
      <c r="B111" s="474"/>
      <c r="C111" s="474"/>
      <c r="D111" s="43"/>
      <c r="E111" s="12" t="s">
        <v>97</v>
      </c>
      <c r="F111" s="43"/>
      <c r="G111" s="43"/>
      <c r="H111" s="465" t="s">
        <v>98</v>
      </c>
      <c r="I111" s="465"/>
      <c r="J111" s="465"/>
      <c r="L111" s="12" t="s">
        <v>99</v>
      </c>
      <c r="N111" s="42"/>
      <c r="O111" s="9"/>
      <c r="P111" s="42"/>
      <c r="Q111" s="42"/>
      <c r="R111" s="42"/>
      <c r="S111" s="42"/>
      <c r="T111" s="42"/>
      <c r="U111" s="42"/>
      <c r="V111" s="42"/>
      <c r="W111" s="157"/>
      <c r="X111" s="157"/>
      <c r="Y111" s="157"/>
      <c r="Z111" s="157"/>
      <c r="AA111" s="157"/>
      <c r="AB111" s="157"/>
      <c r="AC111" s="157"/>
    </row>
    <row r="112" spans="1:34" s="30" customFormat="1" ht="12.75" customHeight="1" x14ac:dyDescent="0.2">
      <c r="A112" s="159">
        <f>Hulpblad_overig!B45</f>
        <v>1</v>
      </c>
      <c r="B112" s="386" t="s">
        <v>102</v>
      </c>
      <c r="C112" s="388"/>
      <c r="D112" s="43"/>
      <c r="E112" s="197">
        <v>0</v>
      </c>
      <c r="F112" s="43"/>
      <c r="G112" s="43"/>
      <c r="H112" s="508">
        <v>0</v>
      </c>
      <c r="I112" s="509"/>
      <c r="J112" s="510"/>
      <c r="L112" s="195">
        <v>0.02</v>
      </c>
      <c r="N112" s="42"/>
      <c r="O112" s="53">
        <f>IF($A$112=0,(E112*H112),0)</f>
        <v>0</v>
      </c>
      <c r="P112" s="57">
        <f t="shared" ref="P112:V113" si="59">O112*(1+$L112)</f>
        <v>0</v>
      </c>
      <c r="Q112" s="57">
        <f t="shared" si="59"/>
        <v>0</v>
      </c>
      <c r="R112" s="57">
        <f t="shared" si="59"/>
        <v>0</v>
      </c>
      <c r="S112" s="57">
        <f t="shared" si="59"/>
        <v>0</v>
      </c>
      <c r="T112" s="57">
        <f t="shared" si="59"/>
        <v>0</v>
      </c>
      <c r="U112" s="57">
        <f t="shared" si="59"/>
        <v>0</v>
      </c>
      <c r="V112" s="57">
        <f t="shared" si="59"/>
        <v>0</v>
      </c>
      <c r="W112" s="57">
        <f t="shared" ref="W112:W113" si="60">IF($B$12&gt;8,V112*(1+$L112),"")</f>
        <v>0</v>
      </c>
      <c r="X112" s="57">
        <f>IF($B$12&gt;9,W112*(1+$L112),"")</f>
        <v>0</v>
      </c>
      <c r="Y112" s="57">
        <f>IF($B$12&gt;10,X112*(1+$L112),"")</f>
        <v>0</v>
      </c>
      <c r="Z112" s="57">
        <f>IF($B$12&gt;11,Y112*(1+$L112),"")</f>
        <v>0</v>
      </c>
      <c r="AA112" s="57">
        <f>IF($B$12&gt;12,Z112*(1+$L112),"")</f>
        <v>0</v>
      </c>
      <c r="AB112" s="57">
        <f>IF($B$12&gt;13,AA112*(1+$L112),"")</f>
        <v>0</v>
      </c>
      <c r="AC112" s="57">
        <f>IF($B$12&gt;14,AB112*(1+$L112),"")</f>
        <v>0</v>
      </c>
      <c r="AD112" s="57">
        <f>IF($B$12&gt;15,AC112*(1+$L112),"")</f>
        <v>0</v>
      </c>
      <c r="AE112" s="57">
        <f>IF($B$12&gt;16,AD112*(1+$L112),"")</f>
        <v>0</v>
      </c>
      <c r="AF112" s="57">
        <f>IF($B$12&gt;17,AE112*(1+$L112),"")</f>
        <v>0</v>
      </c>
      <c r="AG112" s="57">
        <f>IF($B$12&gt;18,AF112*(1+$L112),"")</f>
        <v>0</v>
      </c>
      <c r="AH112" s="57">
        <f>IF($B$12&gt;19,AG112*(1+$L112),"")</f>
        <v>0</v>
      </c>
    </row>
    <row r="113" spans="1:34" s="30" customFormat="1" ht="12.75" customHeight="1" x14ac:dyDescent="0.2">
      <c r="B113" s="391" t="s">
        <v>103</v>
      </c>
      <c r="C113" s="517"/>
      <c r="D113" s="43"/>
      <c r="E113" s="198">
        <v>0</v>
      </c>
      <c r="F113" s="43"/>
      <c r="G113" s="43"/>
      <c r="H113" s="518">
        <v>0</v>
      </c>
      <c r="I113" s="519"/>
      <c r="J113" s="520"/>
      <c r="L113" s="196">
        <v>0.02</v>
      </c>
      <c r="N113" s="42"/>
      <c r="O113" s="53">
        <f>IF($A$112=0,(E113*H113),0)</f>
        <v>0</v>
      </c>
      <c r="P113" s="57">
        <f t="shared" si="59"/>
        <v>0</v>
      </c>
      <c r="Q113" s="57">
        <f t="shared" si="59"/>
        <v>0</v>
      </c>
      <c r="R113" s="57">
        <f t="shared" si="59"/>
        <v>0</v>
      </c>
      <c r="S113" s="57">
        <f t="shared" si="59"/>
        <v>0</v>
      </c>
      <c r="T113" s="57">
        <f t="shared" si="59"/>
        <v>0</v>
      </c>
      <c r="U113" s="57">
        <f t="shared" si="59"/>
        <v>0</v>
      </c>
      <c r="V113" s="57">
        <f t="shared" si="59"/>
        <v>0</v>
      </c>
      <c r="W113" s="57">
        <f t="shared" si="60"/>
        <v>0</v>
      </c>
      <c r="X113" s="57">
        <f>IF($B$12&gt;9,W113*(1+$L113),"")</f>
        <v>0</v>
      </c>
      <c r="Y113" s="57">
        <f>IF($B$12&gt;10,X113*(1+$L113),"")</f>
        <v>0</v>
      </c>
      <c r="Z113" s="57">
        <f>IF($B$12&gt;11,Y113*(1+$L113),"")</f>
        <v>0</v>
      </c>
      <c r="AA113" s="57">
        <f>IF($B$12&gt;12,Z113*(1+$L113),"")</f>
        <v>0</v>
      </c>
      <c r="AB113" s="57">
        <f>IF($B$12&gt;13,AA113*(1+$L113),"")</f>
        <v>0</v>
      </c>
      <c r="AC113" s="57">
        <f>IF($B$12&gt;14,AB113*(1+$L113),"")</f>
        <v>0</v>
      </c>
      <c r="AD113" s="57">
        <f>IF($B$12&gt;15,AC113*(1+$L113),"")</f>
        <v>0</v>
      </c>
      <c r="AE113" s="57">
        <f>IF($B$12&gt;16,AD113*(1+$L113),"")</f>
        <v>0</v>
      </c>
      <c r="AF113" s="57">
        <f>IF($B$12&gt;17,AE113*(1+$L113),"")</f>
        <v>0</v>
      </c>
      <c r="AG113" s="57">
        <f>IF($B$12&gt;18,AF113*(1+$L113),"")</f>
        <v>0</v>
      </c>
      <c r="AH113" s="57">
        <f>IF($B$12&gt;19,AG113*(1+$L113),"")</f>
        <v>0</v>
      </c>
    </row>
    <row r="114" spans="1:34" s="30" customFormat="1" ht="12.75" customHeight="1" x14ac:dyDescent="0.2">
      <c r="A114" s="12"/>
      <c r="B114" s="30" t="s">
        <v>104</v>
      </c>
      <c r="C114" s="43"/>
      <c r="D114" s="43"/>
      <c r="E114" s="43"/>
      <c r="F114" s="43"/>
      <c r="G114" s="43"/>
      <c r="H114" s="160"/>
      <c r="I114" s="43"/>
      <c r="J114" s="43"/>
      <c r="K114" s="43"/>
      <c r="L114" s="43"/>
      <c r="N114" s="42"/>
      <c r="O114" s="42">
        <f>SUM(O112:O113)</f>
        <v>0</v>
      </c>
      <c r="P114" s="42">
        <f t="shared" ref="P114:V114" si="61">SUM(P112:P113)</f>
        <v>0</v>
      </c>
      <c r="Q114" s="42">
        <f t="shared" si="61"/>
        <v>0</v>
      </c>
      <c r="R114" s="42">
        <f t="shared" si="61"/>
        <v>0</v>
      </c>
      <c r="S114" s="42">
        <f t="shared" si="61"/>
        <v>0</v>
      </c>
      <c r="T114" s="42">
        <f t="shared" si="61"/>
        <v>0</v>
      </c>
      <c r="U114" s="42">
        <f t="shared" si="61"/>
        <v>0</v>
      </c>
      <c r="V114" s="42">
        <f t="shared" si="61"/>
        <v>0</v>
      </c>
      <c r="W114" s="42">
        <f>IF($B$12&gt;8,SUM(W112:W113),"")</f>
        <v>0</v>
      </c>
      <c r="X114" s="42">
        <f>IF($B$12&gt;9,SUM(X112:X113),"")</f>
        <v>0</v>
      </c>
      <c r="Y114" s="42">
        <f>IF($B$12&gt;10,SUM(Y112:Y113),"")</f>
        <v>0</v>
      </c>
      <c r="Z114" s="42">
        <f>IF($B$12&gt;11,SUM(Z112:Z113),"")</f>
        <v>0</v>
      </c>
      <c r="AA114" s="42">
        <f>IF($B$12&gt;12,SUM(AA112:AA113),"")</f>
        <v>0</v>
      </c>
      <c r="AB114" s="42">
        <f>IF($B$12&gt;13,SUM(AB112:AB113),"")</f>
        <v>0</v>
      </c>
      <c r="AC114" s="42">
        <f>IF($B$12&gt;14,SUM(AC112:AC113),"")</f>
        <v>0</v>
      </c>
      <c r="AD114" s="42">
        <f>IF($B$12&gt;15,SUM(AD112:AD113),"")</f>
        <v>0</v>
      </c>
      <c r="AE114" s="42">
        <f>IF($B$12&gt;16,SUM(AE112:AE113),"")</f>
        <v>0</v>
      </c>
      <c r="AF114" s="42">
        <f>IF($B$12&gt;17,SUM(AF112:AF113),"")</f>
        <v>0</v>
      </c>
      <c r="AG114" s="42">
        <f>IF($B$12&gt;18,SUM(AG112:AG113),"")</f>
        <v>0</v>
      </c>
      <c r="AH114" s="42">
        <f>IF($B$12&gt;19,SUM(AH112:AH113),"")</f>
        <v>0</v>
      </c>
    </row>
    <row r="115" spans="1:34" s="30" customFormat="1" ht="12.75" customHeight="1" x14ac:dyDescent="0.2">
      <c r="A115" s="12"/>
      <c r="B115" s="43"/>
      <c r="C115" s="43"/>
      <c r="D115" s="43"/>
      <c r="E115" s="43"/>
      <c r="F115" s="43"/>
      <c r="G115" s="43"/>
      <c r="H115" s="160"/>
      <c r="I115" s="43"/>
      <c r="J115" s="43"/>
      <c r="K115" s="43"/>
      <c r="L115" s="43"/>
      <c r="N115" s="42"/>
      <c r="O115" s="42"/>
      <c r="P115" s="42"/>
      <c r="Q115" s="42"/>
      <c r="R115" s="42"/>
      <c r="S115" s="42"/>
      <c r="T115" s="42"/>
      <c r="U115" s="42"/>
      <c r="V115" s="42"/>
      <c r="W115" s="42"/>
      <c r="X115" s="157"/>
      <c r="Y115" s="157"/>
      <c r="Z115" s="157"/>
      <c r="AA115" s="157"/>
      <c r="AB115" s="157"/>
      <c r="AC115" s="157"/>
    </row>
    <row r="116" spans="1:34" s="30" customFormat="1" ht="12.75" customHeight="1" x14ac:dyDescent="0.2">
      <c r="A116" s="30" t="s">
        <v>105</v>
      </c>
      <c r="B116" s="43"/>
      <c r="C116" s="43"/>
      <c r="D116" s="43"/>
      <c r="E116" s="43"/>
      <c r="F116" s="43"/>
      <c r="G116" s="43"/>
      <c r="H116" s="43"/>
      <c r="I116" s="43"/>
      <c r="J116" s="43"/>
      <c r="K116" s="43"/>
      <c r="L116" s="160"/>
      <c r="N116" s="42">
        <f>N91</f>
        <v>0</v>
      </c>
      <c r="O116" s="42">
        <f t="shared" ref="O116:V116" si="62">O91+O107+O114</f>
        <v>0</v>
      </c>
      <c r="P116" s="42">
        <f t="shared" si="62"/>
        <v>0</v>
      </c>
      <c r="Q116" s="42">
        <f t="shared" si="62"/>
        <v>0</v>
      </c>
      <c r="R116" s="42">
        <f t="shared" si="62"/>
        <v>0</v>
      </c>
      <c r="S116" s="42">
        <f t="shared" si="62"/>
        <v>0</v>
      </c>
      <c r="T116" s="42">
        <f t="shared" si="62"/>
        <v>0</v>
      </c>
      <c r="U116" s="42">
        <f>U91+U107+U114</f>
        <v>0</v>
      </c>
      <c r="V116" s="42">
        <f t="shared" si="62"/>
        <v>0</v>
      </c>
      <c r="W116" s="42">
        <f>IF($B$12&gt;8,W91+W107+W114,"")</f>
        <v>0</v>
      </c>
      <c r="X116" s="42">
        <f>IF($B$12&gt;9,X91+X107+X114,"")</f>
        <v>0</v>
      </c>
      <c r="Y116" s="42">
        <f>IF($B$12&gt;10,Y91+Y107+Y114,"")</f>
        <v>0</v>
      </c>
      <c r="Z116" s="42">
        <f>IF($B$12&gt;11,Z91+Z107+Z114,"")</f>
        <v>0</v>
      </c>
      <c r="AA116" s="42">
        <f>IF($B$12&gt;12,AA91+AA107+AA114,"")</f>
        <v>0</v>
      </c>
      <c r="AB116" s="42">
        <f>IF($B$12&gt;13,AB91+AB107+AB114,"")</f>
        <v>0</v>
      </c>
      <c r="AC116" s="42">
        <f>IF($B$12&gt;14,AC91+AC107+AC114,"")</f>
        <v>0</v>
      </c>
      <c r="AD116" s="42">
        <f>IF($B$12&gt;15,AD91+AD107+AD114,"")</f>
        <v>0</v>
      </c>
      <c r="AE116" s="42">
        <f>IF($B$12&gt;16,AE91+AE107+AE114,"")</f>
        <v>0</v>
      </c>
      <c r="AF116" s="42">
        <f>IF($B$12&gt;17,AF91+AF107+AF114,"")</f>
        <v>0</v>
      </c>
      <c r="AG116" s="42">
        <f>IF($B$12&gt;18,AG91+AG107+AG114,"")</f>
        <v>0</v>
      </c>
      <c r="AH116" s="42">
        <f>IF($B$12&gt;19,AH91+AH107+AH114,"")</f>
        <v>0</v>
      </c>
    </row>
    <row r="117" spans="1:34" s="30" customFormat="1" ht="12.75" customHeight="1" x14ac:dyDescent="0.25">
      <c r="B117" s="16" t="s">
        <v>539</v>
      </c>
      <c r="C117" s="43"/>
      <c r="D117" s="43"/>
      <c r="E117" s="16"/>
      <c r="F117" s="43"/>
      <c r="G117" s="43"/>
      <c r="H117" s="43"/>
      <c r="I117" s="43"/>
      <c r="J117" s="161"/>
      <c r="K117" s="43"/>
      <c r="L117" s="43"/>
      <c r="N117" s="43"/>
      <c r="O117" s="43"/>
      <c r="P117" s="43"/>
      <c r="Q117" s="43"/>
      <c r="R117" s="43"/>
      <c r="S117" s="43"/>
      <c r="T117" s="43"/>
      <c r="U117" s="43"/>
      <c r="V117" s="43"/>
      <c r="W117" s="11"/>
      <c r="X117" s="11"/>
      <c r="Y117" s="11"/>
      <c r="Z117" s="11"/>
      <c r="AA117" s="157"/>
      <c r="AB117" s="157"/>
      <c r="AC117" s="157"/>
    </row>
    <row r="118" spans="1:34" ht="12.75" customHeight="1" x14ac:dyDescent="0.25">
      <c r="A118" s="12" t="s">
        <v>106</v>
      </c>
      <c r="B118" s="521">
        <f>B12</f>
        <v>20</v>
      </c>
      <c r="C118" s="522"/>
      <c r="M118" s="167"/>
      <c r="N118" s="166"/>
      <c r="O118" s="57">
        <f t="shared" ref="O118:V118" si="63">$N$27/$B$118</f>
        <v>0</v>
      </c>
      <c r="P118" s="57">
        <f t="shared" si="63"/>
        <v>0</v>
      </c>
      <c r="Q118" s="57">
        <f t="shared" si="63"/>
        <v>0</v>
      </c>
      <c r="R118" s="57">
        <f t="shared" si="63"/>
        <v>0</v>
      </c>
      <c r="S118" s="57">
        <f t="shared" si="63"/>
        <v>0</v>
      </c>
      <c r="T118" s="57">
        <f t="shared" si="63"/>
        <v>0</v>
      </c>
      <c r="U118" s="57">
        <f t="shared" si="63"/>
        <v>0</v>
      </c>
      <c r="V118" s="57">
        <f t="shared" si="63"/>
        <v>0</v>
      </c>
      <c r="W118" s="57">
        <f>IF($B$12&gt;8,IF($B$118&gt;=W36,$N$27/$B$118,0),"")</f>
        <v>0</v>
      </c>
      <c r="X118" s="57">
        <f>IF($B$12&gt;9,IF($B$118&gt;=X36,$N$27/$B$118,0),"")</f>
        <v>0</v>
      </c>
      <c r="Y118" s="57">
        <f>IF($B$12&gt;10,IF($B$118&gt;=Y36,$N$27/$B$118,0),"")</f>
        <v>0</v>
      </c>
      <c r="Z118" s="57">
        <f>IF($B$12&gt;11,IF($B$118&gt;=Z36,$N$27/$B$118,0),"")</f>
        <v>0</v>
      </c>
      <c r="AA118" s="57">
        <f>IF($B$12&gt;12,IF($B$118&gt;=AA36,$N$27/$B$118,0),"")</f>
        <v>0</v>
      </c>
      <c r="AB118" s="57">
        <f>IF($B$12&gt;13,IF($B$118&gt;=AB36,$N$27/$B$118,0),"")</f>
        <v>0</v>
      </c>
      <c r="AC118" s="57">
        <f>IF($B$12&gt;14,IF($B$118&gt;=AC36,$N$27/$B$118,0),"")</f>
        <v>0</v>
      </c>
      <c r="AD118" s="57">
        <f>IF($B$12&gt;15,IF($B$118&gt;=AD36,$N$27/$B$118,0),"")</f>
        <v>0</v>
      </c>
      <c r="AE118" s="57">
        <f>IF($B$12&gt;16,IF($B$118&gt;=AE36,$N$27/$B$118,0),"")</f>
        <v>0</v>
      </c>
      <c r="AF118" s="57">
        <f>IF($B$12&gt;17,IF($B$118&gt;=AF36,$N$27/$B$118,0),"")</f>
        <v>0</v>
      </c>
      <c r="AG118" s="57">
        <f>IF($B$12&gt;18,IF($B$118&gt;=AG36,$N$27/$B$118,0),"")</f>
        <v>0</v>
      </c>
      <c r="AH118" s="57">
        <f>IF($B$12&gt;19,IF($B$118&gt;=AH36,$N$27/$B$118,0),"")</f>
        <v>0</v>
      </c>
    </row>
    <row r="119" spans="1:34" ht="12.75" hidden="1" customHeight="1" x14ac:dyDescent="0.25">
      <c r="A119" s="12" t="s">
        <v>107</v>
      </c>
      <c r="L119" s="12"/>
      <c r="M119" s="163"/>
      <c r="N119" s="166"/>
      <c r="O119" s="57">
        <f t="shared" ref="O119:V119" si="64">IF(O36&gt;$E$34,0,IPMT($L$34,O36,$E$34,$L$31))*-1</f>
        <v>0</v>
      </c>
      <c r="P119" s="57">
        <f t="shared" si="64"/>
        <v>0</v>
      </c>
      <c r="Q119" s="57">
        <f t="shared" si="64"/>
        <v>0</v>
      </c>
      <c r="R119" s="57">
        <f t="shared" si="64"/>
        <v>0</v>
      </c>
      <c r="S119" s="57">
        <f t="shared" si="64"/>
        <v>0</v>
      </c>
      <c r="T119" s="57">
        <f t="shared" si="64"/>
        <v>0</v>
      </c>
      <c r="U119" s="57">
        <f t="shared" si="64"/>
        <v>0</v>
      </c>
      <c r="V119" s="57">
        <f t="shared" si="64"/>
        <v>0</v>
      </c>
      <c r="W119" s="57">
        <f>IF($B$12&gt;8,IF(W36&gt;$E$34,0,IPMT($L$34,W36,$E$34,$L$31))*-1,"")</f>
        <v>0</v>
      </c>
      <c r="X119" s="57">
        <f>IF($B$12&gt;9,IF(X36&gt;$E$34,0,IPMT($L$34,X36,$E$34,$L$31))*-1,"")</f>
        <v>0</v>
      </c>
      <c r="Y119" s="57">
        <f>IF($B$12&gt;10,IF(Y36&gt;$E$34,0,IPMT($L$34,Y36,$E$34,$L$31))*-1,"")</f>
        <v>0</v>
      </c>
      <c r="Z119" s="57">
        <f>IF($B$12&gt;11,IF(Z36&gt;$E$34,0,IPMT($L$34,Z36,$E$34,$L$31))*-1,"")</f>
        <v>0</v>
      </c>
      <c r="AA119" s="57">
        <f>IF($B$12&gt;12,IF(AA36&gt;$E$34,0,IPMT($L$34,AA36,$E$34,$L$31))*-1,"")</f>
        <v>0</v>
      </c>
      <c r="AB119" s="57">
        <f>IF($B$12&gt;13,IF(AB36&gt;$E$34,0,IPMT($L$34,AB36,$E$34,$L$31))*-1,"")</f>
        <v>0</v>
      </c>
      <c r="AC119" s="57">
        <f>IF($B$12&gt;14,IF(AC36&gt;$E$34,0,IPMT($L$34,AC36,$E$34,$L$31))*-1,"")</f>
        <v>0</v>
      </c>
      <c r="AD119" s="57">
        <f>IF($B$12&gt;15,IF(AD36&gt;$E$34,0,IPMT($L$34,AD36,$E$34,$L$31))*-1,"")</f>
        <v>0</v>
      </c>
      <c r="AE119" s="57">
        <f>IF($B$12&gt;16,IF(AE36&gt;$E$34,0,IPMT($L$34,AE36,$E$34,$L$31))*-1,"")</f>
        <v>0</v>
      </c>
      <c r="AF119" s="57">
        <f>IF($B$12&gt;17,IF(AF36&gt;$E$34,0,IPMT($L$34,AF36,$E$34,$L$31))*-1,"")</f>
        <v>0</v>
      </c>
      <c r="AG119" s="57">
        <f>IF($B$12&gt;18,IF(AG36&gt;$E$34,0,IPMT($L$34,AG36,$E$34,$L$31))*-1,"")</f>
        <v>0</v>
      </c>
      <c r="AH119" s="57">
        <f>IF($B$12&gt;19,IF(AH36&gt;$E$34,0,IPMT($L$34,AH36,$E$34,$L$31))*-1,"")</f>
        <v>0</v>
      </c>
    </row>
    <row r="120" spans="1:34" ht="12.75" hidden="1" customHeight="1" x14ac:dyDescent="0.25">
      <c r="A120" s="12" t="s">
        <v>108</v>
      </c>
      <c r="M120" s="163"/>
      <c r="N120" s="166"/>
      <c r="O120" s="57">
        <f t="shared" ref="O120:V120" si="65">IF(O36&gt;$E$34,0,PPMT($L$34,O36,$E$34,$L$31))*-1</f>
        <v>0</v>
      </c>
      <c r="P120" s="57">
        <f t="shared" si="65"/>
        <v>0</v>
      </c>
      <c r="Q120" s="57">
        <f t="shared" si="65"/>
        <v>0</v>
      </c>
      <c r="R120" s="57">
        <f t="shared" si="65"/>
        <v>0</v>
      </c>
      <c r="S120" s="57">
        <f t="shared" si="65"/>
        <v>0</v>
      </c>
      <c r="T120" s="57">
        <f t="shared" si="65"/>
        <v>0</v>
      </c>
      <c r="U120" s="57">
        <f t="shared" si="65"/>
        <v>0</v>
      </c>
      <c r="V120" s="57">
        <f t="shared" si="65"/>
        <v>0</v>
      </c>
      <c r="W120" s="57">
        <f>IF($B$12&gt;8,IF(W36&gt;$E$34,0,PPMT($L$34,W36,$E$34,$L$31))*-1,"")</f>
        <v>0</v>
      </c>
      <c r="X120" s="57">
        <f>IF($B$12&gt;9,IF(X36&gt;$E$34,0,PPMT($L$34,X36,$E$34,$L$31))*-1,"")</f>
        <v>0</v>
      </c>
      <c r="Y120" s="57">
        <f>IF($B$12&gt;10,IF(Y36&gt;$E$34,0,PPMT($L$34,Y36,$E$34,$L$31))*-1,"")</f>
        <v>0</v>
      </c>
      <c r="Z120" s="57">
        <f>IF($B$12&gt;11,IF(Z36&gt;$E$34,0,PPMT($L$34,Z36,$E$34,$L$31))*-1,"")</f>
        <v>0</v>
      </c>
      <c r="AA120" s="57">
        <f>IF($B$12&gt;12,IF(AA36&gt;$E$34,0,PPMT($L$34,AA36,$E$34,$L$31))*-1,"")</f>
        <v>0</v>
      </c>
      <c r="AB120" s="57">
        <f>IF($B$12&gt;13,IF(AB36&gt;$E$34,0,PPMT($L$34,AB36,$E$34,$L$31))*-1,"")</f>
        <v>0</v>
      </c>
      <c r="AC120" s="57">
        <f>IF($B$12&gt;14,IF(AC36&gt;$E$34,0,PPMT($L$34,AC36,$E$34,$L$31))*-1,"")</f>
        <v>0</v>
      </c>
      <c r="AD120" s="57">
        <f>IF($B$12&gt;15,IF(AD36&gt;$E$34,0,PPMT($L$34,AD36,$E$34,$L$31))*-1,"")</f>
        <v>0</v>
      </c>
      <c r="AE120" s="57">
        <f>IF($B$12&gt;16,IF(AE36&gt;$E$34,0,PPMT($L$34,AE36,$E$34,$L$31))*-1,"")</f>
        <v>0</v>
      </c>
      <c r="AF120" s="57">
        <f>IF($B$12&gt;17,IF(AF36&gt;$E$34,0,PPMT($L$34,AF36,$E$34,$L$31))*-1,"")</f>
        <v>0</v>
      </c>
      <c r="AG120" s="57">
        <f>IF($B$12&gt;18,IF(AG36&gt;$E$34,0,PPMT($L$34,AG36,$E$34,$L$31))*-1,"")</f>
        <v>0</v>
      </c>
      <c r="AH120" s="57">
        <f>IF($B$12&gt;19,IF(AH36&gt;$E$34,0,PPMT($L$34,AH36,$E$34,$L$31))*-1,"")</f>
        <v>0</v>
      </c>
    </row>
    <row r="121" spans="1:34" ht="12.75" hidden="1" customHeight="1" x14ac:dyDescent="0.25">
      <c r="A121" s="12" t="s">
        <v>109</v>
      </c>
      <c r="M121" s="163"/>
      <c r="N121" s="166"/>
      <c r="O121" s="57" t="e">
        <f>$L$31*$L$34</f>
        <v>#DIV/0!</v>
      </c>
      <c r="P121" s="57" t="e">
        <f t="shared" ref="P121:V121" si="66">O123*$L$34</f>
        <v>#DIV/0!</v>
      </c>
      <c r="Q121" s="57" t="e">
        <f t="shared" si="66"/>
        <v>#DIV/0!</v>
      </c>
      <c r="R121" s="57" t="e">
        <f t="shared" si="66"/>
        <v>#DIV/0!</v>
      </c>
      <c r="S121" s="57" t="e">
        <f t="shared" si="66"/>
        <v>#DIV/0!</v>
      </c>
      <c r="T121" s="57" t="e">
        <f t="shared" si="66"/>
        <v>#DIV/0!</v>
      </c>
      <c r="U121" s="57" t="e">
        <f t="shared" si="66"/>
        <v>#DIV/0!</v>
      </c>
      <c r="V121" s="57" t="e">
        <f t="shared" si="66"/>
        <v>#DIV/0!</v>
      </c>
      <c r="W121" s="57" t="e">
        <f>IF($B$12&gt;8,V123*$L$34,"")</f>
        <v>#DIV/0!</v>
      </c>
      <c r="X121" s="57" t="e">
        <f>IF($B$12&gt;9,W123*$L$34,"")</f>
        <v>#DIV/0!</v>
      </c>
      <c r="Y121" s="57" t="e">
        <f>IF($B$12&gt;10,X123*$L$34,"")</f>
        <v>#DIV/0!</v>
      </c>
      <c r="Z121" s="57" t="e">
        <f>IF($B$12&gt;11,Y123*$L$34,"")</f>
        <v>#DIV/0!</v>
      </c>
      <c r="AA121" s="57" t="e">
        <f>IF($B$12&gt;12,Z123*$L$34,"")</f>
        <v>#DIV/0!</v>
      </c>
      <c r="AB121" s="57" t="e">
        <f>IF($B$12&gt;13,AA123*$L$34,"")</f>
        <v>#DIV/0!</v>
      </c>
      <c r="AC121" s="57" t="e">
        <f>IF($B$12&gt;14,AB123*$L$34,"")</f>
        <v>#DIV/0!</v>
      </c>
      <c r="AD121" s="57" t="e">
        <f>IF($B$12&gt;15,AC123*$L$34,"")</f>
        <v>#DIV/0!</v>
      </c>
      <c r="AE121" s="57" t="e">
        <f>IF($B$12&gt;16,AD123*$L$34,"")</f>
        <v>#DIV/0!</v>
      </c>
      <c r="AF121" s="57" t="e">
        <f>IF($B$12&gt;17,AE123*$L$34,"")</f>
        <v>#DIV/0!</v>
      </c>
      <c r="AG121" s="57" t="e">
        <f>IF($B$12&gt;18,AF123*$L$34,"")</f>
        <v>#DIV/0!</v>
      </c>
      <c r="AH121" s="57" t="e">
        <f>IF($B$12&gt;19,AG123*$L$34,"")</f>
        <v>#DIV/0!</v>
      </c>
    </row>
    <row r="122" spans="1:34" ht="12.75" hidden="1" customHeight="1" x14ac:dyDescent="0.25">
      <c r="A122" s="12" t="s">
        <v>110</v>
      </c>
      <c r="M122" s="163"/>
      <c r="N122" s="166"/>
      <c r="O122" s="57">
        <f t="shared" ref="O122:V122" si="67">IF(O36&gt;$E$34,0,$L$31/$E34)</f>
        <v>0</v>
      </c>
      <c r="P122" s="57">
        <f t="shared" si="67"/>
        <v>0</v>
      </c>
      <c r="Q122" s="57">
        <f t="shared" si="67"/>
        <v>0</v>
      </c>
      <c r="R122" s="57">
        <f t="shared" si="67"/>
        <v>0</v>
      </c>
      <c r="S122" s="57">
        <f t="shared" si="67"/>
        <v>0</v>
      </c>
      <c r="T122" s="57">
        <f t="shared" si="67"/>
        <v>0</v>
      </c>
      <c r="U122" s="57">
        <f t="shared" si="67"/>
        <v>0</v>
      </c>
      <c r="V122" s="57">
        <f t="shared" si="67"/>
        <v>0</v>
      </c>
      <c r="W122" s="57">
        <f>IF($B$12&gt;8,IF(W36&gt;$E$34,0,$L$31/$E34),"")</f>
        <v>0</v>
      </c>
      <c r="X122" s="57">
        <f>IF($B$12&gt;9,IF(X36&gt;$E$34,0,$L$31/$E34),"")</f>
        <v>0</v>
      </c>
      <c r="Y122" s="57">
        <f>IF($B$12&gt;10,IF(Y36&gt;$E$34,0,$L$31/$E34),"")</f>
        <v>0</v>
      </c>
      <c r="Z122" s="57">
        <f>IF($B$12&gt;11,IF(Z36&gt;$E$34,0,$L$31/$E34),"")</f>
        <v>0</v>
      </c>
      <c r="AA122" s="57">
        <f>IF($B$12&gt;12,IF(AA36&gt;$E$34,0,$L$31/$E34),"")</f>
        <v>0</v>
      </c>
      <c r="AB122" s="57">
        <f>IF($B$12&gt;13,IF(AB36&gt;$E$34,0,$L$31/$E34),"")</f>
        <v>0</v>
      </c>
      <c r="AC122" s="57">
        <f>IF($B$12&gt;14,IF(AC36&gt;$E$34,0,$L$31/$E34),"")</f>
        <v>0</v>
      </c>
      <c r="AD122" s="57">
        <f>IF($B$12&gt;15,IF(AD36&gt;$E$34,0,$L$31/$E34),"")</f>
        <v>0</v>
      </c>
      <c r="AE122" s="57">
        <f>IF($B$12&gt;16,IF(AE36&gt;$E$34,0,$L$31/$E34),"")</f>
        <v>0</v>
      </c>
      <c r="AF122" s="57">
        <f>IF($B$12&gt;17,IF(AF36&gt;$E$34,0,$L$31/$E34),"")</f>
        <v>0</v>
      </c>
      <c r="AG122" s="57">
        <f>IF($B$12&gt;18,IF(AG36&gt;$E$34,0,$L$31/$E34),"")</f>
        <v>0</v>
      </c>
      <c r="AH122" s="57">
        <f>IF($B$12&gt;19,IF(AH36&gt;$E$34,0,$L$31/$E34),"")</f>
        <v>0</v>
      </c>
    </row>
    <row r="123" spans="1:34" ht="12.75" hidden="1" customHeight="1" x14ac:dyDescent="0.25">
      <c r="A123" s="12" t="s">
        <v>111</v>
      </c>
      <c r="M123" s="163"/>
      <c r="N123" s="166"/>
      <c r="O123" s="57" t="e">
        <f>$L$31-O122</f>
        <v>#DIV/0!</v>
      </c>
      <c r="P123" s="57" t="e">
        <f>O123-P122</f>
        <v>#DIV/0!</v>
      </c>
      <c r="Q123" s="57" t="e">
        <f t="shared" ref="Q123:V123" si="68">P123-Q122</f>
        <v>#DIV/0!</v>
      </c>
      <c r="R123" s="57" t="e">
        <f t="shared" si="68"/>
        <v>#DIV/0!</v>
      </c>
      <c r="S123" s="57" t="e">
        <f t="shared" si="68"/>
        <v>#DIV/0!</v>
      </c>
      <c r="T123" s="57" t="e">
        <f t="shared" si="68"/>
        <v>#DIV/0!</v>
      </c>
      <c r="U123" s="57" t="e">
        <f t="shared" si="68"/>
        <v>#DIV/0!</v>
      </c>
      <c r="V123" s="57" t="e">
        <f t="shared" si="68"/>
        <v>#DIV/0!</v>
      </c>
      <c r="W123" s="57" t="e">
        <f>IF($B$12&gt;8,V123-W122,"")</f>
        <v>#DIV/0!</v>
      </c>
      <c r="X123" s="57" t="e">
        <f>IF($B$12&gt;9,W123-X122,"")</f>
        <v>#DIV/0!</v>
      </c>
      <c r="Y123" s="57" t="e">
        <f>IF($B$12&gt;10,X123-Y122,"")</f>
        <v>#DIV/0!</v>
      </c>
      <c r="Z123" s="57" t="e">
        <f>IF($B$12&gt;11,Y123-Z122,"")</f>
        <v>#DIV/0!</v>
      </c>
      <c r="AA123" s="57" t="e">
        <f>IF($B$12&gt;12,Z123-AA122,"")</f>
        <v>#DIV/0!</v>
      </c>
      <c r="AB123" s="57" t="e">
        <f>IF($B$12&gt;13,AA123-AB122,"")</f>
        <v>#DIV/0!</v>
      </c>
      <c r="AC123" s="57" t="e">
        <f>IF($B$12&gt;14,AB123-AC122,"")</f>
        <v>#DIV/0!</v>
      </c>
      <c r="AD123" s="57" t="e">
        <f>IF($B$12&gt;15,AC123-AD122,"")</f>
        <v>#DIV/0!</v>
      </c>
      <c r="AE123" s="57" t="e">
        <f>IF($B$12&gt;16,AD123-AE122,"")</f>
        <v>#DIV/0!</v>
      </c>
      <c r="AF123" s="57" t="e">
        <f>IF($B$12&gt;17,AE123-AF122,"")</f>
        <v>#DIV/0!</v>
      </c>
      <c r="AG123" s="57" t="e">
        <f>IF($B$12&gt;18,AF123-AG122,"")</f>
        <v>#DIV/0!</v>
      </c>
      <c r="AH123" s="57" t="e">
        <f>IF($B$12&gt;19,AG123-AH122,"")</f>
        <v>#DIV/0!</v>
      </c>
    </row>
    <row r="124" spans="1:34" ht="12.75" hidden="1" customHeight="1" x14ac:dyDescent="0.25">
      <c r="A124" s="12"/>
      <c r="M124" s="163"/>
      <c r="N124" s="166"/>
      <c r="O124" s="57"/>
      <c r="P124" s="57"/>
      <c r="Q124" s="57"/>
      <c r="R124" s="57"/>
      <c r="S124" s="57"/>
      <c r="T124" s="57"/>
      <c r="U124" s="57"/>
      <c r="V124" s="57"/>
      <c r="W124" s="222"/>
      <c r="X124" s="222"/>
      <c r="Y124" s="222"/>
      <c r="Z124" s="222"/>
      <c r="AA124" s="222"/>
      <c r="AB124" s="222"/>
      <c r="AC124" s="222"/>
    </row>
    <row r="125" spans="1:34" ht="12.75" customHeight="1" x14ac:dyDescent="0.25">
      <c r="A125" s="12" t="str">
        <f>IF(Hulpblad_overig!$A$32=1,A119,IF(Hulpblad_overig!$A$32=2,A121,0))</f>
        <v>Rentelasten annuïteitenlening</v>
      </c>
      <c r="B125" s="62">
        <f>E34</f>
        <v>0</v>
      </c>
      <c r="C125" s="70" t="s">
        <v>112</v>
      </c>
      <c r="D125" s="70"/>
      <c r="E125" s="70"/>
      <c r="F125" s="70"/>
      <c r="G125" s="70"/>
      <c r="H125" s="70"/>
      <c r="I125" s="71"/>
      <c r="J125" s="71"/>
      <c r="K125" s="61"/>
      <c r="M125" s="163"/>
      <c r="N125" s="166"/>
      <c r="O125" s="57">
        <f>IF(Hulpblad_overig!$A$32=1,O119,IF(Hulpblad_overig!$A$32=2,O121,0))</f>
        <v>0</v>
      </c>
      <c r="P125" s="57">
        <f>IF(Hulpblad_overig!$A$32=1,P119,IF(Hulpblad_overig!$A$32=2,P121,0))</f>
        <v>0</v>
      </c>
      <c r="Q125" s="57">
        <f>IF(Hulpblad_overig!$A$32=1,Q119,IF(Hulpblad_overig!$A$32=2,Q121,0))</f>
        <v>0</v>
      </c>
      <c r="R125" s="57">
        <f>IF(Hulpblad_overig!$A$32=1,R119,IF(Hulpblad_overig!$A$32=2,R121,0))</f>
        <v>0</v>
      </c>
      <c r="S125" s="57">
        <f>IF(Hulpblad_overig!$A$32=1,S119,IF(Hulpblad_overig!$A$32=2,S121,0))</f>
        <v>0</v>
      </c>
      <c r="T125" s="57">
        <f>IF(Hulpblad_overig!$A$32=1,T119,IF(Hulpblad_overig!$A$32=2,T121,0))</f>
        <v>0</v>
      </c>
      <c r="U125" s="57">
        <f>IF(Hulpblad_overig!$A$32=1,U119,IF(Hulpblad_overig!$A$32=2,U121,0))</f>
        <v>0</v>
      </c>
      <c r="V125" s="57">
        <f>IF(Hulpblad_overig!$A$32=1,V119,IF(Hulpblad_overig!$A$32=2,V121,0))</f>
        <v>0</v>
      </c>
      <c r="W125" s="57">
        <f>IF($B$12&gt;8,IF(Hulpblad_overig!$A$32=1,W119,IF(Hulpblad_overig!$A$32=2,W121,0)),"")</f>
        <v>0</v>
      </c>
      <c r="X125" s="57">
        <f>IF($B$12&gt;9,IF(Hulpblad_overig!$A$32=1,X119,IF(Hulpblad_overig!$A$32=2,X121,0)),"")</f>
        <v>0</v>
      </c>
      <c r="Y125" s="57">
        <f>IF($B$12&gt;10,IF(Hulpblad_overig!$A$32=1,Y119,IF(Hulpblad_overig!$A$32=2,Y121,0)),"")</f>
        <v>0</v>
      </c>
      <c r="Z125" s="57">
        <f>IF($B$12&gt;11,IF(Hulpblad_overig!$A$32=1,Z119,IF(Hulpblad_overig!$A$32=2,Z121,0)),"")</f>
        <v>0</v>
      </c>
      <c r="AA125" s="57">
        <f>IF($B$12&gt;12,IF(Hulpblad_overig!$A$32=1,AA119,IF(Hulpblad_overig!$A$32=2,AA121,0)),"")</f>
        <v>0</v>
      </c>
      <c r="AB125" s="57">
        <f>IF($B$12&gt;13,IF(Hulpblad_overig!$A$32=1,AB119,IF(Hulpblad_overig!$A$32=2,AB121,0)),"")</f>
        <v>0</v>
      </c>
      <c r="AC125" s="57">
        <f>IF($B$12&gt;14,IF(Hulpblad_overig!$A$32=1,AC119,IF(Hulpblad_overig!$A$32=2,AC121,0)),"")</f>
        <v>0</v>
      </c>
      <c r="AD125" s="57">
        <f>IF($B$12&gt;15,IF(Hulpblad_overig!$A$32=1,AD119,IF(Hulpblad_overig!$A$32=2,AD121,0)),"")</f>
        <v>0</v>
      </c>
      <c r="AE125" s="57">
        <f>IF($B$12&gt;16,IF(Hulpblad_overig!$A$32=1,AE119,IF(Hulpblad_overig!$A$32=2,AE121,0)),"")</f>
        <v>0</v>
      </c>
      <c r="AF125" s="57">
        <f>IF($B$12&gt;17,IF(Hulpblad_overig!$A$32=1,AF119,IF(Hulpblad_overig!$A$32=2,AF121,0)),"")</f>
        <v>0</v>
      </c>
      <c r="AG125" s="57">
        <f>IF($B$12&gt;18,IF(Hulpblad_overig!$A$32=1,AG119,IF(Hulpblad_overig!$A$32=2,AG121,0)),"")</f>
        <v>0</v>
      </c>
      <c r="AH125" s="57">
        <f>IF($B$12&gt;19,IF(Hulpblad_overig!$A$32=1,AH119,IF(Hulpblad_overig!$A$32=2,AH121,0)),"")</f>
        <v>0</v>
      </c>
    </row>
    <row r="126" spans="1:34" ht="12.75" customHeight="1" x14ac:dyDescent="0.25">
      <c r="A126" s="12" t="str">
        <f>IF(Hulpblad_overig!$A$32=1,A120,IF(Hulpblad_overig!$A$32=2,A122,0))</f>
        <v>Aflossingen annuïteitenlening</v>
      </c>
      <c r="B126" s="69">
        <f>E34</f>
        <v>0</v>
      </c>
      <c r="C126" s="70" t="s">
        <v>112</v>
      </c>
      <c r="D126" s="70"/>
      <c r="E126" s="70"/>
      <c r="F126" s="70"/>
      <c r="G126" s="70"/>
      <c r="H126" s="70"/>
      <c r="I126" s="71"/>
      <c r="J126" s="71"/>
      <c r="K126" s="61"/>
      <c r="M126" s="163"/>
      <c r="N126" s="166"/>
      <c r="O126" s="57">
        <f>IF(Hulpblad_overig!$A$32=1,O120,IF(Hulpblad_overig!$A$32=2,O122,0))</f>
        <v>0</v>
      </c>
      <c r="P126" s="57">
        <f>IF(Hulpblad_overig!$A$32=1,P120,IF(Hulpblad_overig!$A$32=2,P122,0))</f>
        <v>0</v>
      </c>
      <c r="Q126" s="57">
        <f>IF(Hulpblad_overig!$A$32=1,Q120,IF(Hulpblad_overig!$A$32=2,Q122,0))</f>
        <v>0</v>
      </c>
      <c r="R126" s="57">
        <f>IF(Hulpblad_overig!$A$32=1,R120,IF(Hulpblad_overig!$A$32=2,R122,0))</f>
        <v>0</v>
      </c>
      <c r="S126" s="57">
        <f>IF(Hulpblad_overig!$A$32=1,S120,IF(Hulpblad_overig!$A$32=2,S122,0))</f>
        <v>0</v>
      </c>
      <c r="T126" s="57">
        <f>IF(Hulpblad_overig!$A$32=1,T120,IF(Hulpblad_overig!$A$32=2,T122,0))</f>
        <v>0</v>
      </c>
      <c r="U126" s="57">
        <f>IF(Hulpblad_overig!$A$32=1,U120,IF(Hulpblad_overig!$A$32=2,U122,0))</f>
        <v>0</v>
      </c>
      <c r="V126" s="57">
        <f>IF(Hulpblad_overig!$A$32=1,V120,IF(Hulpblad_overig!$A$32=2,V122,0))</f>
        <v>0</v>
      </c>
      <c r="W126" s="57">
        <f>IF($B$12&gt;8,IF(Hulpblad_overig!$A$32=1,W120,IF(Hulpblad_overig!$A$32=2,W122,0)),"")</f>
        <v>0</v>
      </c>
      <c r="X126" s="57">
        <f>IF($B$12&gt;9,IF(Hulpblad_overig!$A$32=1,X120,IF(Hulpblad_overig!$A$32=2,X122,0)),"")</f>
        <v>0</v>
      </c>
      <c r="Y126" s="57">
        <f>IF($B$12&gt;10,IF(Hulpblad_overig!$A$32=1,Y120,IF(Hulpblad_overig!$A$32=2,Y122,0)),"")</f>
        <v>0</v>
      </c>
      <c r="Z126" s="57">
        <f>IF($B$12&gt;11,IF(Hulpblad_overig!$A$32=1,Z120,IF(Hulpblad_overig!$A$32=2,Z122,0)),"")</f>
        <v>0</v>
      </c>
      <c r="AA126" s="57">
        <f>IF($B$12&gt;12,IF(Hulpblad_overig!$A$32=1,AA120,IF(Hulpblad_overig!$A$32=2,AA122,0)),"")</f>
        <v>0</v>
      </c>
      <c r="AB126" s="57">
        <f>IF($B$12&gt;13,IF(Hulpblad_overig!$A$32=1,AB120,IF(Hulpblad_overig!$A$32=2,AB122,0)),"")</f>
        <v>0</v>
      </c>
      <c r="AC126" s="57">
        <f>IF($B$12&gt;14,IF(Hulpblad_overig!$A$32=1,AC120,IF(Hulpblad_overig!$A$32=2,AC122,0)),"")</f>
        <v>0</v>
      </c>
      <c r="AD126" s="57">
        <f>IF($B$12&gt;15,IF(Hulpblad_overig!$A$32=1,AD120,IF(Hulpblad_overig!$A$32=2,AD122,0)),"")</f>
        <v>0</v>
      </c>
      <c r="AE126" s="57">
        <f>IF($B$12&gt;16,IF(Hulpblad_overig!$A$32=1,AE120,IF(Hulpblad_overig!$A$32=2,AE122,0)),"")</f>
        <v>0</v>
      </c>
      <c r="AF126" s="57">
        <f>IF($B$12&gt;17,IF(Hulpblad_overig!$A$32=1,AF120,IF(Hulpblad_overig!$A$32=2,AF122,0)),"")</f>
        <v>0</v>
      </c>
      <c r="AG126" s="57">
        <f>IF($B$12&gt;18,IF(Hulpblad_overig!$A$32=1,AG120,IF(Hulpblad_overig!$A$32=2,AG122,0)),"")</f>
        <v>0</v>
      </c>
      <c r="AH126" s="57">
        <f>IF($B$12&gt;19,IF(Hulpblad_overig!$A$32=1,AH120,IF(Hulpblad_overig!$A$32=2,AH122,0)),"")</f>
        <v>0</v>
      </c>
    </row>
    <row r="127" spans="1:34" ht="12.75" customHeight="1" x14ac:dyDescent="0.25">
      <c r="A127" s="12"/>
      <c r="M127" s="163"/>
      <c r="N127" s="166"/>
      <c r="O127" s="166"/>
      <c r="P127" s="166"/>
      <c r="Q127" s="166"/>
      <c r="R127" s="166"/>
      <c r="S127" s="166"/>
      <c r="T127" s="166"/>
      <c r="U127" s="166"/>
      <c r="V127" s="166"/>
      <c r="W127" s="222"/>
      <c r="X127" s="222"/>
      <c r="Y127" s="222"/>
      <c r="Z127" s="222"/>
      <c r="AA127" s="222"/>
      <c r="AB127" s="222"/>
      <c r="AC127" s="222"/>
    </row>
    <row r="128" spans="1:34" s="30" customFormat="1" ht="12.75" customHeight="1" x14ac:dyDescent="0.2">
      <c r="A128" s="66" t="s">
        <v>113</v>
      </c>
      <c r="N128" s="42">
        <f t="shared" ref="N128:V128" si="69">N116+N118+N125</f>
        <v>0</v>
      </c>
      <c r="O128" s="42">
        <f t="shared" si="69"/>
        <v>0</v>
      </c>
      <c r="P128" s="42">
        <f t="shared" si="69"/>
        <v>0</v>
      </c>
      <c r="Q128" s="42">
        <f t="shared" si="69"/>
        <v>0</v>
      </c>
      <c r="R128" s="42">
        <f t="shared" si="69"/>
        <v>0</v>
      </c>
      <c r="S128" s="42">
        <f t="shared" si="69"/>
        <v>0</v>
      </c>
      <c r="T128" s="42">
        <f t="shared" si="69"/>
        <v>0</v>
      </c>
      <c r="U128" s="42">
        <f t="shared" si="69"/>
        <v>0</v>
      </c>
      <c r="V128" s="42">
        <f t="shared" si="69"/>
        <v>0</v>
      </c>
      <c r="W128" s="42">
        <f>IF($B$12&gt;8,W116+W118+W125,"")</f>
        <v>0</v>
      </c>
      <c r="X128" s="42">
        <f>IF($B$12&gt;9,X116+X118+X125,"")</f>
        <v>0</v>
      </c>
      <c r="Y128" s="42">
        <f>IF($B$12&gt;10,Y116+Y118+Y125,"")</f>
        <v>0</v>
      </c>
      <c r="Z128" s="42">
        <f>IF($B$12&gt;11,Z116+Z118+Z125,"")</f>
        <v>0</v>
      </c>
      <c r="AA128" s="42">
        <f>IF($B$12&gt;12,AA116+AA118+AA125,"")</f>
        <v>0</v>
      </c>
      <c r="AB128" s="42">
        <f>IF($B$12&gt;13,AB116+AB118+AB125,"")</f>
        <v>0</v>
      </c>
      <c r="AC128" s="42">
        <f>IF($B$12&gt;14,AC116+AC118+AC125,"")</f>
        <v>0</v>
      </c>
      <c r="AD128" s="42">
        <f>IF($B$12&gt;15,AD116+AD118+AD125,"")</f>
        <v>0</v>
      </c>
      <c r="AE128" s="42">
        <f>IF($B$12&gt;16,AE116+AE118+AE125,"")</f>
        <v>0</v>
      </c>
      <c r="AF128" s="42">
        <f>IF($B$12&gt;17,AF116+AF118+AF125,"")</f>
        <v>0</v>
      </c>
      <c r="AG128" s="42">
        <f>IF($B$12&gt;18,AG116+AG118+AG125,"")</f>
        <v>0</v>
      </c>
      <c r="AH128" s="42">
        <f>IF($B$12&gt;19,AH116+AH118+AH125,"")</f>
        <v>0</v>
      </c>
    </row>
    <row r="129" spans="1:34" s="30" customFormat="1" ht="12.75" customHeight="1" x14ac:dyDescent="0.2">
      <c r="N129" s="42"/>
      <c r="O129" s="42"/>
      <c r="P129" s="42"/>
      <c r="Q129" s="42"/>
      <c r="R129" s="42"/>
      <c r="S129" s="42"/>
      <c r="T129" s="42"/>
      <c r="U129" s="42"/>
      <c r="V129" s="42"/>
      <c r="W129" s="157"/>
      <c r="X129" s="157"/>
      <c r="Y129" s="157"/>
      <c r="Z129" s="157"/>
      <c r="AA129" s="157"/>
      <c r="AB129" s="157"/>
      <c r="AC129" s="157"/>
    </row>
    <row r="130" spans="1:34" s="30" customFormat="1" ht="12.75" customHeight="1" x14ac:dyDescent="0.2">
      <c r="A130" s="30" t="s">
        <v>114</v>
      </c>
      <c r="N130" s="42">
        <f t="shared" ref="N130:V130" si="70">N74-N128</f>
        <v>0</v>
      </c>
      <c r="O130" s="42">
        <f t="shared" si="70"/>
        <v>0</v>
      </c>
      <c r="P130" s="42">
        <f t="shared" si="70"/>
        <v>0</v>
      </c>
      <c r="Q130" s="42">
        <f t="shared" si="70"/>
        <v>0</v>
      </c>
      <c r="R130" s="42">
        <f t="shared" si="70"/>
        <v>0</v>
      </c>
      <c r="S130" s="42">
        <f t="shared" si="70"/>
        <v>0</v>
      </c>
      <c r="T130" s="42">
        <f t="shared" si="70"/>
        <v>0</v>
      </c>
      <c r="U130" s="42">
        <f t="shared" si="70"/>
        <v>0</v>
      </c>
      <c r="V130" s="42">
        <f t="shared" si="70"/>
        <v>0</v>
      </c>
      <c r="W130" s="42">
        <f>IF($B$12&gt;8,W74-W128,"")</f>
        <v>0</v>
      </c>
      <c r="X130" s="42">
        <f>IF($B$12&gt;9,X74-X128,"")</f>
        <v>0</v>
      </c>
      <c r="Y130" s="42">
        <f>IF($B$12&gt;10,Y74-Y128,"")</f>
        <v>0</v>
      </c>
      <c r="Z130" s="42">
        <f>IF($B$12&gt;11,Z74-Z128,"")</f>
        <v>0</v>
      </c>
      <c r="AA130" s="42">
        <f>IF($B$12&gt;12,AA74-AA128,"")</f>
        <v>0</v>
      </c>
      <c r="AB130" s="42">
        <f>IF($B$12&gt;13,AB74-AB128,"")</f>
        <v>0</v>
      </c>
      <c r="AC130" s="42">
        <f>IF($B$12&gt;14,AC74-AC128,"")</f>
        <v>0</v>
      </c>
      <c r="AD130" s="42">
        <f>IF($B$12&gt;15,AD74-AD128,"")</f>
        <v>0</v>
      </c>
      <c r="AE130" s="42">
        <f>IF($B$12&gt;16,AE74-AE128,"")</f>
        <v>0</v>
      </c>
      <c r="AF130" s="42">
        <f>IF($B$12&gt;17,AF74-AF128,"")</f>
        <v>0</v>
      </c>
      <c r="AG130" s="42">
        <f>IF($B$12&gt;18,AG74-AG128,"")</f>
        <v>0</v>
      </c>
      <c r="AH130" s="42">
        <f>IF($B$12&gt;19,AH74-AH128,"")</f>
        <v>0</v>
      </c>
    </row>
    <row r="131" spans="1:34" s="30" customFormat="1" ht="12.75" customHeight="1" x14ac:dyDescent="0.2">
      <c r="N131" s="42"/>
      <c r="O131" s="42"/>
      <c r="P131" s="42"/>
      <c r="Q131" s="42"/>
      <c r="R131" s="42"/>
      <c r="S131" s="42"/>
      <c r="T131" s="42"/>
      <c r="U131" s="42"/>
      <c r="V131" s="42"/>
      <c r="W131" s="157"/>
      <c r="X131" s="157"/>
      <c r="Y131" s="157"/>
      <c r="Z131" s="157"/>
      <c r="AA131" s="157"/>
      <c r="AB131" s="157"/>
      <c r="AC131" s="157"/>
    </row>
    <row r="132" spans="1:34" ht="12.75" customHeight="1" x14ac:dyDescent="0.25">
      <c r="A132" s="12" t="s">
        <v>115</v>
      </c>
      <c r="L132" s="186">
        <v>0</v>
      </c>
      <c r="M132" s="167"/>
      <c r="N132" s="166"/>
      <c r="O132" s="166"/>
      <c r="P132" s="166"/>
      <c r="Q132" s="166"/>
      <c r="R132" s="166"/>
      <c r="S132" s="166"/>
      <c r="T132" s="166"/>
      <c r="U132" s="166"/>
      <c r="V132" s="166"/>
      <c r="W132" s="222"/>
      <c r="X132" s="222"/>
      <c r="Y132" s="222"/>
      <c r="Z132" s="222"/>
      <c r="AA132" s="222"/>
      <c r="AB132" s="222"/>
      <c r="AC132" s="222"/>
    </row>
    <row r="133" spans="1:34" ht="12.75" customHeight="1" x14ac:dyDescent="0.25">
      <c r="A133" s="12" t="s">
        <v>116</v>
      </c>
      <c r="K133" s="30"/>
      <c r="M133" s="167"/>
      <c r="N133" s="166"/>
      <c r="O133" s="166">
        <f>IF(AND(O130&gt;0,N134&gt;0),MIN(O130,N134),0)</f>
        <v>0</v>
      </c>
      <c r="P133" s="166">
        <f t="shared" ref="P133:V133" si="71">IF(AND(P130&gt;0,O134&gt;0),MIN(P130,O134),0)</f>
        <v>0</v>
      </c>
      <c r="Q133" s="166">
        <f t="shared" si="71"/>
        <v>0</v>
      </c>
      <c r="R133" s="166">
        <f t="shared" si="71"/>
        <v>0</v>
      </c>
      <c r="S133" s="166">
        <f t="shared" si="71"/>
        <v>0</v>
      </c>
      <c r="T133" s="166">
        <f t="shared" si="71"/>
        <v>0</v>
      </c>
      <c r="U133" s="166">
        <f t="shared" si="71"/>
        <v>0</v>
      </c>
      <c r="V133" s="166">
        <f t="shared" si="71"/>
        <v>0</v>
      </c>
      <c r="W133" s="57">
        <f>IF($B$12&gt;8,IF(AND(W130&gt;0,V134&gt;0),MIN(W130,V134),0),"")</f>
        <v>0</v>
      </c>
      <c r="X133" s="57">
        <f>IF($B$12&gt;9,IF(AND(X130&gt;0,W134&gt;0),MIN(X130,W134),0),"")</f>
        <v>0</v>
      </c>
      <c r="Y133" s="57">
        <f>IF($B$12&gt;10,IF(AND(Y130&gt;0,X134&gt;0),MIN(Y130,X134),0),"")</f>
        <v>0</v>
      </c>
      <c r="Z133" s="57">
        <f>IF($B$12&gt;11,IF(AND(Z130&gt;0,Y134&gt;0),MIN(Z130,Y134),0),"")</f>
        <v>0</v>
      </c>
      <c r="AA133" s="57">
        <f>IF($B$12&gt;12,IF(AND(AA130&gt;0,Z134&gt;0),MIN(AA130,Z134),0),"")</f>
        <v>0</v>
      </c>
      <c r="AB133" s="57">
        <f>IF($B$12&gt;13,IF(AND(AB130&gt;0,AA134&gt;0),MIN(AB130,AA134),0),"")</f>
        <v>0</v>
      </c>
      <c r="AC133" s="57">
        <f>IF($B$12&gt;14,IF(AND(AC130&gt;0,AB134&gt;0),MIN(AC130,AB134),0),"")</f>
        <v>0</v>
      </c>
      <c r="AD133" s="57">
        <f>IF($B$12&gt;15,IF(AND(AD130&gt;0,AC134&gt;0),MIN(AD130,AC134),0),"")</f>
        <v>0</v>
      </c>
      <c r="AE133" s="57">
        <f>IF($B$12&gt;16,IF(AND(AE130&gt;0,AD134&gt;0),MIN(AE130,AD134),0),"")</f>
        <v>0</v>
      </c>
      <c r="AF133" s="57">
        <f>IF($B$12&gt;17,IF(AND(AF130&gt;0,AE134&gt;0),MIN(AF130,AE134),0),"")</f>
        <v>0</v>
      </c>
      <c r="AG133" s="57">
        <f>IF($B$12&gt;18,IF(AND(AG130&gt;0,AF134&gt;0),MIN(AG130,AF134),0),"")</f>
        <v>0</v>
      </c>
      <c r="AH133" s="57">
        <f>IF($B$12&gt;19,IF(AND(AH130&gt;0,AG134&gt;0),MIN(AH130,AG134),0),"")</f>
        <v>0</v>
      </c>
    </row>
    <row r="134" spans="1:34" ht="12.75" customHeight="1" x14ac:dyDescent="0.25">
      <c r="A134" s="12" t="s">
        <v>117</v>
      </c>
      <c r="M134" s="166"/>
      <c r="N134" s="166">
        <f>L132</f>
        <v>0</v>
      </c>
      <c r="O134" s="166">
        <f t="shared" ref="O134:V134" si="72">IF(O36&lt;10,IF((N134-O133)&lt;0,0,(N134-O133)),0)</f>
        <v>0</v>
      </c>
      <c r="P134" s="166">
        <f t="shared" si="72"/>
        <v>0</v>
      </c>
      <c r="Q134" s="166">
        <f t="shared" si="72"/>
        <v>0</v>
      </c>
      <c r="R134" s="166">
        <f t="shared" si="72"/>
        <v>0</v>
      </c>
      <c r="S134" s="166">
        <f t="shared" si="72"/>
        <v>0</v>
      </c>
      <c r="T134" s="166">
        <f t="shared" si="72"/>
        <v>0</v>
      </c>
      <c r="U134" s="166">
        <f t="shared" si="72"/>
        <v>0</v>
      </c>
      <c r="V134" s="166">
        <f t="shared" si="72"/>
        <v>0</v>
      </c>
      <c r="W134" s="57">
        <f>IF($B$12&gt;8,IF(W36&lt;10,IF((V134-W133)&lt;0,0,(V134-W133)),0),"")</f>
        <v>0</v>
      </c>
      <c r="X134" s="57">
        <f>IF($B$12&gt;9,IF(X36&lt;10,IF((W134-X133)&lt;0,0,(W134-X133)),0),"")</f>
        <v>0</v>
      </c>
      <c r="Y134" s="57">
        <f>IF($B$12&gt;10,IF(Y36&lt;10,IF((X134-Y133)&lt;0,0,(X134-Y133)),0),"")</f>
        <v>0</v>
      </c>
      <c r="Z134" s="57">
        <f>IF($B$12&gt;11,IF(Z36&lt;10,IF((Y134-Z133)&lt;0,0,(Y134-Z133)),0),"")</f>
        <v>0</v>
      </c>
      <c r="AA134" s="57">
        <f>IF($B$12&gt;12,IF(AA36&lt;10,IF((Z134-AA133)&lt;0,0,(Z134-AA133)),0),"")</f>
        <v>0</v>
      </c>
      <c r="AB134" s="57">
        <f>IF($B$12&gt;13,IF(AB36&lt;10,IF((AA134-AB133)&lt;0,0,(AA134-AB133)),0),"")</f>
        <v>0</v>
      </c>
      <c r="AC134" s="57">
        <f>IF($B$12&gt;14,IF(AC36&lt;10,IF((AB134-AC133)&lt;0,0,(AB134-AC133)),0),"")</f>
        <v>0</v>
      </c>
      <c r="AD134" s="57">
        <f>IF($B$12&gt;15,IF(AD36&lt;10,IF((AC134-AD133)&lt;0,0,(AC134-AD133)),0),"")</f>
        <v>0</v>
      </c>
      <c r="AE134" s="57">
        <f>IF($B$12&gt;16,IF(AE36&lt;10,IF((AD134-AE133)&lt;0,0,(AD134-AE133)),0),"")</f>
        <v>0</v>
      </c>
      <c r="AF134" s="57">
        <f>IF($B$12&gt;17,IF(AF36&lt;10,IF((AE134-AF133)&lt;0,0,(AE134-AF133)),0),"")</f>
        <v>0</v>
      </c>
      <c r="AG134" s="57">
        <f>IF($B$12&gt;18,IF(AG36&lt;10,IF((AF134-AG133)&lt;0,0,(AF134-AG133)),0),"")</f>
        <v>0</v>
      </c>
      <c r="AH134" s="57">
        <f>IF($B$12&gt;19,IF(AH36&lt;10,IF((AG134-AH133)&lt;0,0,(AG134-AH133)),0),"")</f>
        <v>0</v>
      </c>
    </row>
    <row r="135" spans="1:34" s="30" customFormat="1" ht="12.75" customHeight="1" x14ac:dyDescent="0.2">
      <c r="A135" s="12" t="s">
        <v>118</v>
      </c>
      <c r="B135" s="12"/>
      <c r="C135" s="12"/>
      <c r="D135" s="12"/>
      <c r="E135" s="12"/>
      <c r="F135" s="12"/>
      <c r="G135" s="12"/>
      <c r="H135" s="12"/>
      <c r="I135" s="12"/>
      <c r="J135" s="12"/>
      <c r="K135" s="12"/>
      <c r="L135" s="12"/>
      <c r="M135" s="12"/>
      <c r="N135" s="57"/>
      <c r="O135" s="57">
        <f>IF(N130&lt;0,-N130,0)</f>
        <v>0</v>
      </c>
      <c r="P135" s="57">
        <f t="shared" ref="P135:V135" si="73">IF(O137&lt;0,-O137,0)</f>
        <v>0</v>
      </c>
      <c r="Q135" s="57">
        <f t="shared" si="73"/>
        <v>0</v>
      </c>
      <c r="R135" s="57">
        <f t="shared" si="73"/>
        <v>0</v>
      </c>
      <c r="S135" s="57">
        <f t="shared" si="73"/>
        <v>0</v>
      </c>
      <c r="T135" s="57">
        <f t="shared" si="73"/>
        <v>0</v>
      </c>
      <c r="U135" s="57">
        <f t="shared" si="73"/>
        <v>0</v>
      </c>
      <c r="V135" s="57">
        <f t="shared" si="73"/>
        <v>0</v>
      </c>
      <c r="W135" s="57">
        <f>IF($B$12&gt;8,IF(V137&lt;0,-V137,0),"")</f>
        <v>0</v>
      </c>
      <c r="X135" s="57">
        <f>IF($B$12&gt;9,IF(W137&lt;0,-W137,0),"")</f>
        <v>0</v>
      </c>
      <c r="Y135" s="57">
        <f>IF($B$12&gt;10,IF(X137&lt;0,-X137,0),"")</f>
        <v>0</v>
      </c>
      <c r="Z135" s="57">
        <f>IF($B$12&gt;11,IF(Y137&lt;0,-Y137,0),"")</f>
        <v>0</v>
      </c>
      <c r="AA135" s="57">
        <f>IF($B$12&gt;12,IF(Z137&lt;0,-Z137,0),"")</f>
        <v>0</v>
      </c>
      <c r="AB135" s="57">
        <f>IF($B$12&gt;13,IF(AA137&lt;0,-AA137,0),"")</f>
        <v>0</v>
      </c>
      <c r="AC135" s="57">
        <f>IF($B$12&gt;14,IF(AB137&lt;0,-AB137,0),"")</f>
        <v>0</v>
      </c>
      <c r="AD135" s="57">
        <f>IF($B$12&gt;15,IF(AC137&lt;0,-AC137,0),"")</f>
        <v>0</v>
      </c>
      <c r="AE135" s="57">
        <f>IF($B$12&gt;16,IF(AD137&lt;0,-AD137,0),"")</f>
        <v>0</v>
      </c>
      <c r="AF135" s="57">
        <f>IF($B$12&gt;17,IF(AE137&lt;0,-AE137,0),"")</f>
        <v>0</v>
      </c>
      <c r="AG135" s="57">
        <f>IF($B$12&gt;18,IF(AF137&lt;0,-AF137,0),"")</f>
        <v>0</v>
      </c>
      <c r="AH135" s="57">
        <f>IF($B$12&gt;19,IF(AG137&lt;0,-AG137,0),"")</f>
        <v>0</v>
      </c>
    </row>
    <row r="136" spans="1:34" ht="12.75" customHeight="1" x14ac:dyDescent="0.25">
      <c r="A136" s="12"/>
      <c r="M136" s="166"/>
      <c r="N136" s="166"/>
      <c r="O136" s="166"/>
      <c r="P136" s="166"/>
      <c r="Q136" s="166"/>
      <c r="R136" s="166"/>
      <c r="S136" s="166"/>
      <c r="T136" s="166"/>
      <c r="U136" s="166"/>
      <c r="V136" s="166"/>
      <c r="W136" s="222"/>
      <c r="X136" s="222"/>
      <c r="Y136" s="222"/>
      <c r="Z136" s="222"/>
      <c r="AA136" s="222"/>
      <c r="AB136" s="222"/>
      <c r="AC136" s="222"/>
    </row>
    <row r="137" spans="1:34" s="30" customFormat="1" ht="12.75" customHeight="1" x14ac:dyDescent="0.2">
      <c r="A137" s="30" t="s">
        <v>119</v>
      </c>
      <c r="N137" s="42">
        <f>N130-N133</f>
        <v>0</v>
      </c>
      <c r="O137" s="42">
        <f>O130-O133</f>
        <v>0</v>
      </c>
      <c r="P137" s="42">
        <f>P130-P133-P135</f>
        <v>0</v>
      </c>
      <c r="Q137" s="42">
        <f t="shared" ref="Q137:V137" si="74">Q130-Q133-Q135</f>
        <v>0</v>
      </c>
      <c r="R137" s="42">
        <f t="shared" si="74"/>
        <v>0</v>
      </c>
      <c r="S137" s="42">
        <f t="shared" si="74"/>
        <v>0</v>
      </c>
      <c r="T137" s="42">
        <f t="shared" si="74"/>
        <v>0</v>
      </c>
      <c r="U137" s="42">
        <f t="shared" si="74"/>
        <v>0</v>
      </c>
      <c r="V137" s="42">
        <f t="shared" si="74"/>
        <v>0</v>
      </c>
      <c r="W137" s="42">
        <f>IF($B$12&gt;8,W130-W133-W135,"")</f>
        <v>0</v>
      </c>
      <c r="X137" s="42">
        <f>IF($B$12&gt;9,X130-X133-X135,"")</f>
        <v>0</v>
      </c>
      <c r="Y137" s="42">
        <f>IF($B$12&gt;10,Y130-Y133-Y135,"")</f>
        <v>0</v>
      </c>
      <c r="Z137" s="42">
        <f>IF($B$12&gt;11,Z130-Z133-Z135,"")</f>
        <v>0</v>
      </c>
      <c r="AA137" s="42">
        <f>IF($B$12&gt;12,AA130-AA133-AA135,"")</f>
        <v>0</v>
      </c>
      <c r="AB137" s="42">
        <f>IF($B$12&gt;13,AB130-AB133-AB135,"")</f>
        <v>0</v>
      </c>
      <c r="AC137" s="42">
        <f>IF($B$12&gt;14,AC130-AC133-AC135,"")</f>
        <v>0</v>
      </c>
      <c r="AD137" s="42">
        <f>IF($B$12&gt;15,AD130-AD133-AD135,"")</f>
        <v>0</v>
      </c>
      <c r="AE137" s="42">
        <f>IF($B$12&gt;16,AE130-AE133-AE135,"")</f>
        <v>0</v>
      </c>
      <c r="AF137" s="42">
        <f>IF($B$12&gt;17,AF130-AF133-AF135,"")</f>
        <v>0</v>
      </c>
      <c r="AG137" s="42">
        <f>IF($B$12&gt;18,AG130-AG133-AG135,"")</f>
        <v>0</v>
      </c>
      <c r="AH137" s="42">
        <f>IF($B$12&gt;19,AH130-AH133-AH135,"")</f>
        <v>0</v>
      </c>
    </row>
    <row r="138" spans="1:34" ht="12.75" customHeight="1" x14ac:dyDescent="0.25">
      <c r="M138" s="163"/>
      <c r="N138" s="166"/>
      <c r="O138" s="166"/>
      <c r="P138" s="166"/>
      <c r="Q138" s="166"/>
      <c r="R138" s="166"/>
      <c r="S138" s="166"/>
      <c r="T138" s="166"/>
      <c r="U138" s="166"/>
      <c r="V138" s="166"/>
      <c r="W138" s="222"/>
      <c r="X138" s="222"/>
      <c r="Y138" s="222"/>
      <c r="Z138" s="222"/>
      <c r="AA138" s="222"/>
      <c r="AB138" s="222"/>
      <c r="AC138" s="222"/>
    </row>
    <row r="139" spans="1:34" ht="12.75" customHeight="1" x14ac:dyDescent="0.25">
      <c r="A139" s="12" t="s">
        <v>120</v>
      </c>
      <c r="M139" s="163"/>
      <c r="N139" s="166"/>
      <c r="O139" s="166"/>
      <c r="P139" s="166"/>
      <c r="Q139" s="166"/>
      <c r="R139" s="166"/>
      <c r="S139" s="166"/>
      <c r="T139" s="166"/>
      <c r="U139" s="166"/>
      <c r="V139" s="166"/>
      <c r="W139" s="222"/>
      <c r="X139" s="222"/>
      <c r="Y139" s="222"/>
      <c r="Z139" s="222"/>
      <c r="AA139" s="222"/>
      <c r="AB139" s="222"/>
      <c r="AC139" s="222"/>
    </row>
    <row r="140" spans="1:34" ht="12.75" customHeight="1" x14ac:dyDescent="0.25">
      <c r="L140" s="180">
        <v>0.25800000000000001</v>
      </c>
      <c r="M140" s="163"/>
      <c r="N140" s="166"/>
      <c r="O140" s="166"/>
      <c r="P140" s="166"/>
      <c r="Q140" s="166"/>
      <c r="R140" s="166"/>
      <c r="S140" s="166"/>
      <c r="T140" s="166"/>
      <c r="U140" s="166"/>
      <c r="V140" s="166"/>
      <c r="W140" s="222"/>
      <c r="X140" s="222"/>
      <c r="Y140" s="222"/>
      <c r="Z140" s="222"/>
      <c r="AA140" s="222"/>
      <c r="AB140" s="222"/>
      <c r="AC140" s="222"/>
    </row>
    <row r="141" spans="1:34" ht="12.75" customHeight="1" x14ac:dyDescent="0.25">
      <c r="A141" s="4" t="s">
        <v>121</v>
      </c>
      <c r="C141" s="6"/>
      <c r="D141" s="40"/>
      <c r="E141" s="40"/>
      <c r="F141" s="40"/>
      <c r="G141" s="40"/>
      <c r="H141" s="40"/>
      <c r="I141" s="40"/>
      <c r="J141" s="40"/>
      <c r="M141" s="163"/>
      <c r="N141" s="166">
        <f>N137*$L$140</f>
        <v>0</v>
      </c>
      <c r="O141" s="166">
        <f>IF(O137&gt;0,O137*$L$140,0)</f>
        <v>0</v>
      </c>
      <c r="P141" s="166">
        <f t="shared" ref="P141:V141" si="75">IF(P137&gt;0,P137*$L$140,0)</f>
        <v>0</v>
      </c>
      <c r="Q141" s="166">
        <f t="shared" si="75"/>
        <v>0</v>
      </c>
      <c r="R141" s="166">
        <f t="shared" si="75"/>
        <v>0</v>
      </c>
      <c r="S141" s="166">
        <f t="shared" si="75"/>
        <v>0</v>
      </c>
      <c r="T141" s="166">
        <f t="shared" si="75"/>
        <v>0</v>
      </c>
      <c r="U141" s="166">
        <f t="shared" si="75"/>
        <v>0</v>
      </c>
      <c r="V141" s="166">
        <f t="shared" si="75"/>
        <v>0</v>
      </c>
      <c r="W141" s="57">
        <f>IF($B$12&gt;8,IF(W137&gt;0,W137*$L$140,0),"")</f>
        <v>0</v>
      </c>
      <c r="X141" s="57">
        <f>IF($B$12&gt;9,IF(X137&gt;0,X137*$L$140,0),"")</f>
        <v>0</v>
      </c>
      <c r="Y141" s="57">
        <f>IF($B$12&gt;10,IF(Y137&gt;0,Y137*$L$140,0),"")</f>
        <v>0</v>
      </c>
      <c r="Z141" s="57">
        <f>IF($B$12&gt;11,IF(Z137&gt;0,Z137*$L$140,0),"")</f>
        <v>0</v>
      </c>
      <c r="AA141" s="57">
        <f>IF($B$12&gt;12,IF(AA137&gt;0,AA137*$L$140,0),"")</f>
        <v>0</v>
      </c>
      <c r="AB141" s="57">
        <f>IF($B$12&gt;13,IF(AB137&gt;0,AB137*$L$140,0),"")</f>
        <v>0</v>
      </c>
      <c r="AC141" s="57">
        <f>IF($B$12&gt;14,IF(AC137&gt;0,AC137*$L$140,0),"")</f>
        <v>0</v>
      </c>
      <c r="AD141" s="57">
        <f>IF($B$12&gt;15,IF(AD137&gt;0,AD137*$L$140,0),"")</f>
        <v>0</v>
      </c>
      <c r="AE141" s="57">
        <f>IF($B$12&gt;16,IF(AE137&gt;0,AE137*$L$140,0),"")</f>
        <v>0</v>
      </c>
      <c r="AF141" s="57">
        <f>IF($B$12&gt;17,IF(AF137&gt;0,AF137*$L$140,0),"")</f>
        <v>0</v>
      </c>
      <c r="AG141" s="57">
        <f>IF($B$12&gt;18,IF(AG137&gt;0,AG137*$L$140,0),"")</f>
        <v>0</v>
      </c>
      <c r="AH141" s="57">
        <f>IF($B$12&gt;19,IF(AH137&gt;0,AH137*$L$140,0),"")</f>
        <v>0</v>
      </c>
    </row>
    <row r="142" spans="1:34" s="30" customFormat="1" ht="12.75" customHeight="1" x14ac:dyDescent="0.2">
      <c r="A142" s="30" t="s">
        <v>122</v>
      </c>
      <c r="N142" s="42">
        <f t="shared" ref="N142:V142" si="76">N130-N141</f>
        <v>0</v>
      </c>
      <c r="O142" s="42">
        <f t="shared" si="76"/>
        <v>0</v>
      </c>
      <c r="P142" s="42">
        <f t="shared" si="76"/>
        <v>0</v>
      </c>
      <c r="Q142" s="42">
        <f t="shared" si="76"/>
        <v>0</v>
      </c>
      <c r="R142" s="42">
        <f t="shared" si="76"/>
        <v>0</v>
      </c>
      <c r="S142" s="42">
        <f t="shared" si="76"/>
        <v>0</v>
      </c>
      <c r="T142" s="42">
        <f t="shared" si="76"/>
        <v>0</v>
      </c>
      <c r="U142" s="42">
        <f t="shared" si="76"/>
        <v>0</v>
      </c>
      <c r="V142" s="42">
        <f t="shared" si="76"/>
        <v>0</v>
      </c>
      <c r="W142" s="42">
        <f>IF($B$12&gt;8,W130-W141,"")</f>
        <v>0</v>
      </c>
      <c r="X142" s="42">
        <f>IF($B$12&gt;9,X130-X141,"")</f>
        <v>0</v>
      </c>
      <c r="Y142" s="42">
        <f>IF($B$12&gt;10,Y130-Y141,"")</f>
        <v>0</v>
      </c>
      <c r="Z142" s="42">
        <f>IF($B$12&gt;11,Z130-Z141,"")</f>
        <v>0</v>
      </c>
      <c r="AA142" s="42">
        <f>IF($B$12&gt;12,AA130-AA141,"")</f>
        <v>0</v>
      </c>
      <c r="AB142" s="42">
        <f>IF($B$12&gt;13,AB130-AB141,"")</f>
        <v>0</v>
      </c>
      <c r="AC142" s="42">
        <f>IF($B$12&gt;14,AC130-AC141,"")</f>
        <v>0</v>
      </c>
      <c r="AD142" s="42">
        <f>IF($B$12&gt;15,AD130-AD141,"")</f>
        <v>0</v>
      </c>
      <c r="AE142" s="42">
        <f>IF($B$12&gt;16,AE130-AE141,"")</f>
        <v>0</v>
      </c>
      <c r="AF142" s="42">
        <f>IF($B$12&gt;17,AF130-AF141,"")</f>
        <v>0</v>
      </c>
      <c r="AG142" s="42">
        <f>IF($B$12&gt;18,AG130-AG141,"")</f>
        <v>0</v>
      </c>
      <c r="AH142" s="42">
        <f>IF($B$12&gt;19,AH130-AH141,"")</f>
        <v>0</v>
      </c>
    </row>
    <row r="143" spans="1:34" s="30" customFormat="1" ht="12.75" customHeight="1" x14ac:dyDescent="0.2">
      <c r="N143" s="42"/>
      <c r="O143" s="42"/>
      <c r="P143" s="42"/>
      <c r="Q143" s="42"/>
      <c r="R143" s="42"/>
      <c r="S143" s="42"/>
      <c r="T143" s="42"/>
      <c r="U143" s="42"/>
      <c r="V143" s="42"/>
      <c r="W143" s="157"/>
      <c r="X143" s="157"/>
      <c r="Y143" s="157"/>
      <c r="Z143" s="157"/>
      <c r="AA143" s="157"/>
      <c r="AB143" s="157"/>
      <c r="AC143" s="157"/>
    </row>
    <row r="144" spans="1:34" s="30" customFormat="1" ht="12.75" customHeight="1" x14ac:dyDescent="0.2">
      <c r="A144" s="30" t="s">
        <v>123</v>
      </c>
      <c r="N144" s="42">
        <f>N142+N118+N125-N27</f>
        <v>0</v>
      </c>
      <c r="O144" s="42">
        <f t="shared" ref="O144:V144" si="77">+O142+O118+O125</f>
        <v>0</v>
      </c>
      <c r="P144" s="42">
        <f t="shared" si="77"/>
        <v>0</v>
      </c>
      <c r="Q144" s="42">
        <f t="shared" si="77"/>
        <v>0</v>
      </c>
      <c r="R144" s="42">
        <f t="shared" si="77"/>
        <v>0</v>
      </c>
      <c r="S144" s="42">
        <f t="shared" si="77"/>
        <v>0</v>
      </c>
      <c r="T144" s="42">
        <f t="shared" si="77"/>
        <v>0</v>
      </c>
      <c r="U144" s="42">
        <f t="shared" si="77"/>
        <v>0</v>
      </c>
      <c r="V144" s="42">
        <f t="shared" si="77"/>
        <v>0</v>
      </c>
      <c r="W144" s="42">
        <f>IF($B$12&gt;8,+W142+W118+W125,"")</f>
        <v>0</v>
      </c>
      <c r="X144" s="42">
        <f>IF($B$12&gt;9,+X142+X118+X125,"")</f>
        <v>0</v>
      </c>
      <c r="Y144" s="42">
        <f>IF($B$12&gt;10,+Y142+Y118+Y125,"")</f>
        <v>0</v>
      </c>
      <c r="Z144" s="42">
        <f>IF($B$12&gt;11,+Z142+Z118+Z125,"")</f>
        <v>0</v>
      </c>
      <c r="AA144" s="42">
        <f>IF($B$12&gt;12,+AA142+AA118+AA125,"")</f>
        <v>0</v>
      </c>
      <c r="AB144" s="42">
        <f>IF($B$12&gt;13,+AB142+AB118+AB125,"")</f>
        <v>0</v>
      </c>
      <c r="AC144" s="42">
        <f>IF($B$12&gt;14,+AC142+AC118+AC125,"")</f>
        <v>0</v>
      </c>
      <c r="AD144" s="42">
        <f>IF($B$12&gt;15,+AD142+AD118+AD125,"")</f>
        <v>0</v>
      </c>
      <c r="AE144" s="42">
        <f>IF($B$12&gt;16,+AE142+AE118+AE125,"")</f>
        <v>0</v>
      </c>
      <c r="AF144" s="42">
        <f>IF($B$12&gt;17,+AF142+AF118+AF125,"")</f>
        <v>0</v>
      </c>
      <c r="AG144" s="42">
        <f>IF($B$12&gt;18,+AG142+AG118+AG125,"")</f>
        <v>0</v>
      </c>
      <c r="AH144" s="42">
        <f>IF($B$12&gt;19,+AH142+AH118+AH125,"")</f>
        <v>0</v>
      </c>
    </row>
    <row r="145" spans="1:34" ht="12.75" customHeight="1" thickBot="1" x14ac:dyDescent="0.3">
      <c r="M145" s="163"/>
      <c r="N145" s="166"/>
      <c r="O145" s="166"/>
      <c r="P145" s="166"/>
      <c r="Q145" s="166"/>
      <c r="R145" s="166"/>
      <c r="S145" s="166"/>
      <c r="T145" s="166"/>
      <c r="U145" s="166"/>
      <c r="V145" s="166"/>
      <c r="W145" s="222"/>
      <c r="X145" s="222"/>
      <c r="Y145" s="222"/>
      <c r="Z145" s="222"/>
      <c r="AA145" s="222"/>
      <c r="AB145" s="222"/>
      <c r="AC145" s="222"/>
      <c r="AD145" s="222"/>
      <c r="AE145" s="222"/>
      <c r="AF145" s="222"/>
      <c r="AG145" s="222"/>
      <c r="AH145" s="222"/>
    </row>
    <row r="146" spans="1:34" ht="24.95" customHeight="1" thickBot="1" x14ac:dyDescent="0.3">
      <c r="A146" s="92" t="s">
        <v>124</v>
      </c>
      <c r="B146" s="93"/>
      <c r="C146" s="93"/>
      <c r="D146" s="94"/>
      <c r="E146" s="94"/>
      <c r="F146" s="94"/>
      <c r="G146" s="94"/>
      <c r="H146" s="94"/>
      <c r="I146" s="94"/>
      <c r="J146" s="94"/>
      <c r="K146" s="94"/>
      <c r="L146" s="95" t="e">
        <f>IRR(N144:AH144,0%)</f>
        <v>#NUM!</v>
      </c>
      <c r="M146" s="169"/>
      <c r="N146" s="170"/>
      <c r="O146" s="171"/>
      <c r="P146" s="171"/>
      <c r="Q146" s="171"/>
      <c r="R146" s="171"/>
      <c r="S146" s="171"/>
      <c r="T146" s="171"/>
      <c r="U146" s="171"/>
      <c r="V146" s="171"/>
      <c r="W146" s="172"/>
      <c r="X146" s="172"/>
      <c r="Y146" s="172"/>
      <c r="Z146" s="172"/>
      <c r="AA146" s="222"/>
      <c r="AB146" s="222"/>
      <c r="AC146" s="222"/>
      <c r="AD146" s="222"/>
      <c r="AE146" s="222"/>
      <c r="AF146" s="222"/>
      <c r="AG146" s="222"/>
      <c r="AH146" s="222"/>
    </row>
    <row r="147" spans="1:34" ht="12.75" customHeight="1" x14ac:dyDescent="0.25">
      <c r="M147" s="163"/>
      <c r="N147" s="163"/>
      <c r="O147" s="163"/>
      <c r="P147" s="163"/>
      <c r="Q147" s="163"/>
      <c r="R147" s="163"/>
      <c r="S147" s="163"/>
      <c r="T147" s="163"/>
      <c r="U147" s="163"/>
      <c r="V147" s="163"/>
      <c r="W147" s="40"/>
      <c r="X147" s="40"/>
      <c r="Y147" s="40"/>
      <c r="Z147" s="40"/>
      <c r="AA147" s="222"/>
      <c r="AB147" s="222"/>
      <c r="AC147" s="222"/>
      <c r="AD147" s="222"/>
      <c r="AE147" s="222"/>
      <c r="AF147" s="222"/>
      <c r="AG147" s="222"/>
      <c r="AH147" s="222"/>
    </row>
    <row r="148" spans="1:34" ht="12.75" customHeight="1" x14ac:dyDescent="0.25">
      <c r="M148" s="163"/>
      <c r="N148" s="163"/>
      <c r="O148" s="163"/>
      <c r="P148" s="163"/>
      <c r="Q148" s="163"/>
      <c r="R148" s="163"/>
      <c r="S148" s="163"/>
      <c r="T148" s="163"/>
      <c r="U148" s="163"/>
      <c r="V148" s="163"/>
      <c r="W148" s="40"/>
      <c r="X148" s="40"/>
      <c r="Y148" s="40"/>
      <c r="Z148" s="40"/>
      <c r="AA148" s="222"/>
      <c r="AB148" s="222"/>
      <c r="AC148" s="222"/>
      <c r="AD148" s="222"/>
      <c r="AE148" s="222"/>
      <c r="AF148" s="222"/>
      <c r="AG148" s="222"/>
      <c r="AH148" s="222"/>
    </row>
    <row r="149" spans="1:34" ht="12.75" customHeight="1" x14ac:dyDescent="0.25">
      <c r="A149" s="30" t="s">
        <v>125</v>
      </c>
      <c r="M149" s="163"/>
      <c r="N149" s="42" t="e">
        <f>-$E$31-N116</f>
        <v>#DIV/0!</v>
      </c>
      <c r="O149" s="42">
        <f t="shared" ref="O149:V149" si="78">+O142+O118-O126</f>
        <v>0</v>
      </c>
      <c r="P149" s="42">
        <f t="shared" si="78"/>
        <v>0</v>
      </c>
      <c r="Q149" s="42">
        <f t="shared" si="78"/>
        <v>0</v>
      </c>
      <c r="R149" s="42">
        <f t="shared" si="78"/>
        <v>0</v>
      </c>
      <c r="S149" s="42">
        <f t="shared" si="78"/>
        <v>0</v>
      </c>
      <c r="T149" s="42">
        <f t="shared" si="78"/>
        <v>0</v>
      </c>
      <c r="U149" s="42">
        <f t="shared" si="78"/>
        <v>0</v>
      </c>
      <c r="V149" s="42">
        <f t="shared" si="78"/>
        <v>0</v>
      </c>
      <c r="W149" s="42">
        <f>IF($B$12&gt;8,+W142+W118-W126,"")</f>
        <v>0</v>
      </c>
      <c r="X149" s="42">
        <f>IF($B$12&gt;9,+X142+X118-X126,"")</f>
        <v>0</v>
      </c>
      <c r="Y149" s="42">
        <f>IF($B$12&gt;10,+Y142+Y118-Y126,"")</f>
        <v>0</v>
      </c>
      <c r="Z149" s="42">
        <f>IF($B$12&gt;11,+Z142+Z118-Z126,"")</f>
        <v>0</v>
      </c>
      <c r="AA149" s="42">
        <f>IF($B$12&gt;12,+AA142+AA118-AA126,"")</f>
        <v>0</v>
      </c>
      <c r="AB149" s="42">
        <f>IF($B$12&gt;13,+AB142+AB118-AB126,"")</f>
        <v>0</v>
      </c>
      <c r="AC149" s="42">
        <f>IF($B$12&gt;14,+AC142+AC118-AC126,"")</f>
        <v>0</v>
      </c>
      <c r="AD149" s="42">
        <f>IF($B$12&gt;15,+AD142+AD118-AD126,"")</f>
        <v>0</v>
      </c>
      <c r="AE149" s="42">
        <f>IF($B$12&gt;16,+AE142+AE118-AE126,"")</f>
        <v>0</v>
      </c>
      <c r="AF149" s="42">
        <f>IF($B$12&gt;17,+AF142+AF118-AF126,"")</f>
        <v>0</v>
      </c>
      <c r="AG149" s="42">
        <f>IF($B$12&gt;18,+AG142+AG118-AG126,"")</f>
        <v>0</v>
      </c>
      <c r="AH149" s="42">
        <f>IF($B$12&gt;19,+AH142+AH118-AH126,"")</f>
        <v>0</v>
      </c>
    </row>
    <row r="150" spans="1:34" ht="12.75" customHeight="1" thickBot="1" x14ac:dyDescent="0.3">
      <c r="M150" s="163"/>
      <c r="N150" s="163"/>
      <c r="O150" s="163"/>
      <c r="P150" s="163"/>
      <c r="Q150" s="163"/>
      <c r="R150" s="163"/>
      <c r="S150" s="163"/>
      <c r="T150" s="163"/>
      <c r="U150" s="163"/>
      <c r="V150" s="163"/>
      <c r="W150" s="40"/>
      <c r="X150" s="40"/>
      <c r="Y150" s="40"/>
      <c r="Z150" s="40"/>
      <c r="AA150" s="40"/>
      <c r="AB150" s="40"/>
      <c r="AC150" s="40"/>
      <c r="AD150" s="40"/>
      <c r="AE150" s="40"/>
      <c r="AF150" s="40"/>
      <c r="AG150" s="40"/>
      <c r="AH150" s="40"/>
    </row>
    <row r="151" spans="1:34" ht="24.75" customHeight="1" thickBot="1" x14ac:dyDescent="0.3">
      <c r="A151" s="92" t="s">
        <v>126</v>
      </c>
      <c r="B151" s="96"/>
      <c r="C151" s="96"/>
      <c r="D151" s="96"/>
      <c r="E151" s="96"/>
      <c r="F151" s="96"/>
      <c r="G151" s="96"/>
      <c r="H151" s="96"/>
      <c r="I151" s="96"/>
      <c r="J151" s="96"/>
      <c r="K151" s="96"/>
      <c r="L151" s="97" t="e">
        <f>IF(B31=0%,"n.v.t., geen eigen vermogen",IRR(N149:AH149,0%))</f>
        <v>#DIV/0!</v>
      </c>
      <c r="M151" s="163"/>
      <c r="N151" s="163"/>
      <c r="O151" s="173"/>
      <c r="P151" s="163"/>
      <c r="Q151" s="163"/>
      <c r="R151" s="163"/>
      <c r="S151" s="163"/>
      <c r="T151" s="163"/>
      <c r="U151" s="163"/>
      <c r="V151" s="163"/>
      <c r="W151" s="40"/>
      <c r="X151" s="40"/>
      <c r="Y151" s="40"/>
      <c r="Z151" s="40"/>
      <c r="AA151" s="40"/>
      <c r="AB151" s="40"/>
      <c r="AC151" s="40"/>
      <c r="AD151" s="40"/>
      <c r="AE151" s="40"/>
      <c r="AF151" s="40"/>
      <c r="AG151" s="40"/>
      <c r="AH151" s="40"/>
    </row>
    <row r="152" spans="1:34" ht="12.75" customHeight="1" x14ac:dyDescent="0.25">
      <c r="M152" s="163"/>
      <c r="N152" s="163"/>
      <c r="O152" s="163"/>
      <c r="P152" s="163"/>
      <c r="Q152" s="163"/>
      <c r="R152" s="163"/>
      <c r="S152" s="163"/>
      <c r="T152" s="163"/>
      <c r="U152" s="163"/>
      <c r="V152" s="163"/>
      <c r="W152" s="40"/>
      <c r="X152" s="40"/>
      <c r="Y152" s="40"/>
      <c r="Z152" s="40"/>
      <c r="AA152" s="40"/>
      <c r="AB152" s="40"/>
      <c r="AC152" s="40"/>
      <c r="AD152" s="40"/>
      <c r="AE152" s="40"/>
      <c r="AF152" s="40"/>
      <c r="AG152" s="40"/>
      <c r="AH152" s="40"/>
    </row>
    <row r="153" spans="1:34" ht="12.75" customHeight="1" x14ac:dyDescent="0.25">
      <c r="M153" s="163"/>
      <c r="N153" s="163"/>
      <c r="O153" s="163"/>
      <c r="P153" s="163"/>
      <c r="Q153" s="163"/>
      <c r="R153" s="163"/>
      <c r="S153" s="163"/>
      <c r="T153" s="163"/>
      <c r="U153" s="163"/>
      <c r="V153" s="163"/>
      <c r="W153" s="40"/>
      <c r="X153" s="40"/>
      <c r="Y153" s="40"/>
      <c r="Z153" s="40"/>
      <c r="AA153" s="40"/>
      <c r="AB153" s="40"/>
      <c r="AC153" s="40"/>
      <c r="AD153" s="40"/>
      <c r="AE153" s="40"/>
      <c r="AF153" s="40"/>
      <c r="AG153" s="40"/>
      <c r="AH153" s="40"/>
    </row>
    <row r="154" spans="1:34" ht="12.75" customHeight="1" x14ac:dyDescent="0.25">
      <c r="A154" s="30" t="s">
        <v>127</v>
      </c>
      <c r="M154" s="163"/>
      <c r="N154" s="163"/>
      <c r="O154" s="81" t="e">
        <f t="shared" ref="O154:V154" si="79">IF($B$31&lt;100%,IF((O125+O126)=0,"n.v.t.",O144/(O125+O126)),"n.v.t.")</f>
        <v>#DIV/0!</v>
      </c>
      <c r="P154" s="81" t="e">
        <f t="shared" si="79"/>
        <v>#DIV/0!</v>
      </c>
      <c r="Q154" s="81" t="e">
        <f t="shared" si="79"/>
        <v>#DIV/0!</v>
      </c>
      <c r="R154" s="81" t="e">
        <f t="shared" si="79"/>
        <v>#DIV/0!</v>
      </c>
      <c r="S154" s="81" t="e">
        <f t="shared" si="79"/>
        <v>#DIV/0!</v>
      </c>
      <c r="T154" s="81" t="e">
        <f t="shared" si="79"/>
        <v>#DIV/0!</v>
      </c>
      <c r="U154" s="81" t="e">
        <f t="shared" si="79"/>
        <v>#DIV/0!</v>
      </c>
      <c r="V154" s="81" t="e">
        <f t="shared" si="79"/>
        <v>#DIV/0!</v>
      </c>
      <c r="W154" s="81" t="e">
        <f>IF($B$12&gt;8,IF($B$31&lt;100%,IF((W125+W126)=0,"n.v.t.",W144/(W125+W126)),"n.v.t."),"")</f>
        <v>#DIV/0!</v>
      </c>
      <c r="X154" s="81" t="e">
        <f>IF($B$12&gt;9,IF($B$31&lt;100%,IF((X125+X126)=0,"n.v.t.",X144/(X125+X126)),"n.v.t."),"")</f>
        <v>#DIV/0!</v>
      </c>
      <c r="Y154" s="81" t="e">
        <f>IF($B$12&gt;10,IF($B$31&lt;100%,IF((Y125+Y126)=0,"n.v.t.",Y144/(Y125+Y126)),"n.v.t."),"")</f>
        <v>#DIV/0!</v>
      </c>
      <c r="Z154" s="81" t="e">
        <f>IF($B$12&gt;11,IF($B$31&lt;100%,IF((Z125+Z126)=0,"n.v.t.",Z144/(Z125+Z126)),"n.v.t."),"")</f>
        <v>#DIV/0!</v>
      </c>
      <c r="AA154" s="81" t="e">
        <f>IF($B$12&gt;12,IF($B$31&lt;100%,IF((AA125+AA126)=0,"n.v.t.",AA144/(AA125+AA126)),"n.v.t."),"")</f>
        <v>#DIV/0!</v>
      </c>
      <c r="AB154" s="81" t="e">
        <f>IF($B$12&gt;13,IF($B$31&lt;100%,IF((AB125+AB126)=0,"n.v.t.",AB144/(AB125+AB126)),"n.v.t."),"")</f>
        <v>#DIV/0!</v>
      </c>
      <c r="AC154" s="81" t="e">
        <f>IF($B$12&gt;14,IF($B$31&lt;100%,IF((AC125+AC126)=0,"n.v.t.",AC144/(AC125+AC126)),"n.v.t."),"")</f>
        <v>#DIV/0!</v>
      </c>
      <c r="AD154" s="81" t="e">
        <f>IF($B$12&gt;15,IF($B$31&lt;100%,IF((AD125+AD126)=0,"n.v.t.",AD144/(AD125+AD126)),"n.v.t."),"")</f>
        <v>#DIV/0!</v>
      </c>
      <c r="AE154" s="81" t="e">
        <f>IF($B$12&gt;16,IF($B$31&lt;100%,IF((AE125+AE126)=0,"n.v.t.",AE144/(AE125+AE126)),"n.v.t."),"")</f>
        <v>#DIV/0!</v>
      </c>
      <c r="AF154" s="81" t="e">
        <f>IF($B$12&gt;17,IF($B$31&lt;100%,IF((AF125+AF126)=0,"n.v.t.",AF144/(AF125+AF126)),"n.v.t."),"")</f>
        <v>#DIV/0!</v>
      </c>
      <c r="AG154" s="81" t="e">
        <f>IF($B$12&gt;18,IF($B$31&lt;100%,IF((AG125+AG126)=0,"n.v.t.",AG144/(AG125+AG126)),"n.v.t."),"")</f>
        <v>#DIV/0!</v>
      </c>
      <c r="AH154" s="81" t="e">
        <f>IF($B$12&gt;19,IF($B$31&lt;100%,IF((AH125+AH126)=0,"n.v.t.",AH144/(AH125+AH126)),"n.v.t."),"")</f>
        <v>#DIV/0!</v>
      </c>
    </row>
    <row r="155" spans="1:34" ht="12.75" customHeight="1" thickBot="1" x14ac:dyDescent="0.3">
      <c r="M155" s="163"/>
      <c r="N155" s="163"/>
      <c r="O155" s="163"/>
      <c r="P155" s="163"/>
      <c r="Q155" s="163"/>
      <c r="R155" s="163"/>
      <c r="S155" s="163"/>
      <c r="T155" s="163"/>
      <c r="U155" s="163"/>
      <c r="V155" s="163"/>
      <c r="W155" s="40"/>
      <c r="X155" s="40"/>
      <c r="Y155" s="40"/>
      <c r="Z155" s="40"/>
      <c r="AA155" s="40"/>
      <c r="AB155" s="40"/>
      <c r="AC155" s="40"/>
    </row>
    <row r="156" spans="1:34" ht="24.75" customHeight="1" thickBot="1" x14ac:dyDescent="0.3">
      <c r="A156" s="92" t="s">
        <v>128</v>
      </c>
      <c r="B156" s="98"/>
      <c r="C156" s="98"/>
      <c r="D156" s="99"/>
      <c r="E156" s="99"/>
      <c r="F156" s="99"/>
      <c r="G156" s="99"/>
      <c r="H156" s="99"/>
      <c r="I156" s="99"/>
      <c r="J156" s="99"/>
      <c r="K156" s="99"/>
      <c r="L156" s="100" t="e">
        <f>VLOOKUP(E34,Hulpblad_overig!A50:B69,2,FALSE)</f>
        <v>#N/A</v>
      </c>
      <c r="M156" s="163"/>
      <c r="N156" s="163"/>
      <c r="O156" s="163"/>
      <c r="P156" s="163"/>
      <c r="Q156" s="163"/>
      <c r="R156" s="163"/>
      <c r="S156" s="163"/>
      <c r="T156" s="163"/>
      <c r="U156" s="163"/>
      <c r="V156" s="163"/>
      <c r="W156" s="163"/>
      <c r="X156" s="163"/>
      <c r="Y156" s="163"/>
      <c r="Z156" s="163"/>
      <c r="AA156" s="163"/>
      <c r="AB156" s="163"/>
      <c r="AC156" s="163"/>
    </row>
    <row r="157" spans="1:34" ht="12.75" customHeight="1" x14ac:dyDescent="0.25">
      <c r="M157" s="163"/>
      <c r="N157" s="163"/>
      <c r="O157" s="231"/>
      <c r="P157" s="163"/>
      <c r="Q157" s="163"/>
      <c r="R157" s="163"/>
      <c r="S157" s="163"/>
      <c r="T157" s="163"/>
      <c r="U157" s="163"/>
      <c r="V157" s="163"/>
      <c r="W157" s="163"/>
      <c r="X157" s="163"/>
      <c r="Y157" s="163"/>
      <c r="Z157" s="163"/>
      <c r="AA157" s="163"/>
      <c r="AB157" s="163"/>
      <c r="AC157" s="163"/>
    </row>
    <row r="158" spans="1:34" ht="12.75" customHeight="1" x14ac:dyDescent="0.25">
      <c r="M158" s="163"/>
      <c r="N158" s="163"/>
      <c r="O158" s="231"/>
      <c r="P158" s="163"/>
      <c r="Q158" s="163"/>
      <c r="R158" s="163"/>
      <c r="S158" s="163"/>
      <c r="T158" s="163"/>
      <c r="U158" s="163"/>
      <c r="V158" s="163"/>
      <c r="W158" s="163"/>
      <c r="X158" s="163"/>
      <c r="Y158" s="163"/>
      <c r="Z158" s="163"/>
      <c r="AA158" s="163"/>
      <c r="AB158" s="163"/>
      <c r="AC158" s="163"/>
    </row>
    <row r="159" spans="1:34" ht="12.75" customHeight="1" x14ac:dyDescent="0.25">
      <c r="M159" s="163"/>
      <c r="N159" s="163"/>
      <c r="O159" s="163"/>
      <c r="P159" s="163"/>
      <c r="Q159" s="163"/>
      <c r="R159" s="163"/>
      <c r="S159" s="163"/>
      <c r="T159" s="163"/>
      <c r="U159" s="163"/>
      <c r="V159" s="163"/>
      <c r="W159" s="163"/>
      <c r="X159" s="163"/>
      <c r="Y159" s="163"/>
      <c r="Z159" s="163"/>
      <c r="AA159" s="163"/>
      <c r="AB159" s="163"/>
      <c r="AC159" s="163"/>
    </row>
    <row r="160" spans="1:34" ht="12.75" customHeight="1" x14ac:dyDescent="0.25">
      <c r="A160" s="523"/>
      <c r="B160" s="524"/>
      <c r="C160" s="524"/>
      <c r="D160" s="524"/>
      <c r="E160" s="524"/>
      <c r="F160" s="524"/>
      <c r="G160" s="524"/>
      <c r="H160" s="524"/>
      <c r="I160" s="524"/>
      <c r="J160" s="524"/>
      <c r="K160" s="524"/>
      <c r="L160" s="525"/>
      <c r="M160" s="163"/>
      <c r="N160" s="163"/>
      <c r="O160" s="231"/>
      <c r="P160" s="163"/>
      <c r="Q160" s="163"/>
      <c r="R160" s="163"/>
      <c r="S160" s="163"/>
      <c r="T160" s="163"/>
      <c r="U160" s="163"/>
      <c r="V160" s="163"/>
      <c r="W160" s="163"/>
      <c r="X160" s="163"/>
      <c r="Y160" s="163"/>
      <c r="Z160" s="163"/>
      <c r="AA160" s="163"/>
      <c r="AB160" s="163"/>
      <c r="AC160" s="163"/>
    </row>
    <row r="161" spans="1:29" ht="12.75" customHeight="1" x14ac:dyDescent="0.25">
      <c r="A161" s="526"/>
      <c r="B161" s="527"/>
      <c r="C161" s="527"/>
      <c r="D161" s="527"/>
      <c r="E161" s="527"/>
      <c r="F161" s="527"/>
      <c r="G161" s="527"/>
      <c r="H161" s="527"/>
      <c r="I161" s="527"/>
      <c r="J161" s="527"/>
      <c r="K161" s="527"/>
      <c r="L161" s="528"/>
      <c r="M161" s="163"/>
      <c r="N161" s="163"/>
      <c r="O161" s="163"/>
      <c r="P161" s="163"/>
      <c r="Q161" s="163"/>
      <c r="R161" s="163"/>
      <c r="S161" s="163"/>
      <c r="T161" s="163"/>
      <c r="U161" s="163"/>
      <c r="V161" s="163"/>
      <c r="W161" s="163"/>
      <c r="X161" s="163"/>
      <c r="Y161" s="163"/>
      <c r="Z161" s="163"/>
      <c r="AA161" s="163"/>
      <c r="AB161" s="163"/>
      <c r="AC161" s="163"/>
    </row>
    <row r="162" spans="1:29" ht="12.75" customHeight="1" x14ac:dyDescent="0.25">
      <c r="A162" s="526"/>
      <c r="B162" s="527"/>
      <c r="C162" s="527"/>
      <c r="D162" s="527"/>
      <c r="E162" s="527"/>
      <c r="F162" s="527"/>
      <c r="G162" s="527"/>
      <c r="H162" s="527"/>
      <c r="I162" s="527"/>
      <c r="J162" s="527"/>
      <c r="K162" s="527"/>
      <c r="L162" s="528"/>
      <c r="M162" s="163"/>
      <c r="N162" s="163"/>
      <c r="O162" s="163"/>
      <c r="P162" s="163"/>
      <c r="Q162" s="163"/>
      <c r="R162" s="163"/>
      <c r="S162" s="163"/>
      <c r="T162" s="163"/>
      <c r="U162" s="163"/>
      <c r="V162" s="163"/>
      <c r="W162" s="163"/>
      <c r="X162" s="163"/>
      <c r="Y162" s="163"/>
      <c r="Z162" s="163"/>
      <c r="AA162" s="163"/>
      <c r="AB162" s="163"/>
      <c r="AC162" s="163"/>
    </row>
    <row r="163" spans="1:29" ht="12.75" customHeight="1" x14ac:dyDescent="0.25">
      <c r="A163" s="526"/>
      <c r="B163" s="527"/>
      <c r="C163" s="527"/>
      <c r="D163" s="527"/>
      <c r="E163" s="527"/>
      <c r="F163" s="527"/>
      <c r="G163" s="527"/>
      <c r="H163" s="527"/>
      <c r="I163" s="527"/>
      <c r="J163" s="527"/>
      <c r="K163" s="527"/>
      <c r="L163" s="528"/>
      <c r="M163" s="163"/>
      <c r="N163" s="163"/>
      <c r="O163" s="163"/>
      <c r="P163" s="163"/>
      <c r="Q163" s="163"/>
      <c r="R163" s="163"/>
      <c r="S163" s="163"/>
      <c r="T163" s="163"/>
      <c r="U163" s="163"/>
      <c r="V163" s="163"/>
      <c r="W163" s="163"/>
      <c r="X163" s="163"/>
      <c r="Y163" s="163"/>
      <c r="Z163" s="163"/>
      <c r="AA163" s="163"/>
      <c r="AB163" s="163"/>
      <c r="AC163" s="163"/>
    </row>
    <row r="164" spans="1:29" ht="12.75" customHeight="1" x14ac:dyDescent="0.25">
      <c r="A164" s="526"/>
      <c r="B164" s="527"/>
      <c r="C164" s="527"/>
      <c r="D164" s="527"/>
      <c r="E164" s="527"/>
      <c r="F164" s="527"/>
      <c r="G164" s="527"/>
      <c r="H164" s="527"/>
      <c r="I164" s="527"/>
      <c r="J164" s="527"/>
      <c r="K164" s="527"/>
      <c r="L164" s="528"/>
      <c r="M164" s="163"/>
      <c r="N164" s="163"/>
      <c r="O164" s="163"/>
      <c r="P164" s="163"/>
      <c r="Q164" s="163"/>
      <c r="R164" s="163"/>
      <c r="S164" s="163"/>
      <c r="T164" s="163"/>
      <c r="U164" s="163"/>
      <c r="V164" s="163"/>
      <c r="W164" s="163"/>
      <c r="X164" s="163"/>
      <c r="Y164" s="163"/>
      <c r="Z164" s="163"/>
      <c r="AA164" s="163"/>
      <c r="AB164" s="163"/>
      <c r="AC164" s="163"/>
    </row>
    <row r="165" spans="1:29" ht="12.75" customHeight="1" x14ac:dyDescent="0.25">
      <c r="A165" s="526"/>
      <c r="B165" s="527"/>
      <c r="C165" s="527"/>
      <c r="D165" s="527"/>
      <c r="E165" s="527"/>
      <c r="F165" s="527"/>
      <c r="G165" s="527"/>
      <c r="H165" s="527"/>
      <c r="I165" s="527"/>
      <c r="J165" s="527"/>
      <c r="K165" s="527"/>
      <c r="L165" s="528"/>
      <c r="M165" s="163"/>
      <c r="N165" s="163"/>
      <c r="O165" s="163"/>
      <c r="P165" s="163"/>
      <c r="Q165" s="163"/>
      <c r="R165" s="163"/>
      <c r="S165" s="163"/>
      <c r="T165" s="163"/>
      <c r="U165" s="163"/>
      <c r="V165" s="163"/>
      <c r="W165" s="163"/>
      <c r="X165" s="163"/>
      <c r="Y165" s="163"/>
      <c r="Z165" s="163"/>
      <c r="AA165" s="163"/>
      <c r="AB165" s="163"/>
      <c r="AC165" s="163"/>
    </row>
    <row r="166" spans="1:29" ht="12.75" customHeight="1" x14ac:dyDescent="0.25">
      <c r="A166" s="529"/>
      <c r="B166" s="530"/>
      <c r="C166" s="530"/>
      <c r="D166" s="530"/>
      <c r="E166" s="530"/>
      <c r="F166" s="530"/>
      <c r="G166" s="530"/>
      <c r="H166" s="530"/>
      <c r="I166" s="530"/>
      <c r="J166" s="530"/>
      <c r="K166" s="530"/>
      <c r="L166" s="531"/>
      <c r="M166" s="163"/>
      <c r="N166" s="163"/>
      <c r="O166" s="163"/>
      <c r="P166" s="163"/>
      <c r="Q166" s="163"/>
      <c r="R166" s="163"/>
      <c r="S166" s="163"/>
      <c r="T166" s="163"/>
      <c r="U166" s="163"/>
      <c r="V166" s="163"/>
      <c r="W166" s="163"/>
      <c r="X166" s="163"/>
      <c r="Y166" s="163"/>
      <c r="Z166" s="163"/>
      <c r="AA166" s="163"/>
      <c r="AB166" s="163"/>
      <c r="AC166" s="163"/>
    </row>
    <row r="167" spans="1:29" x14ac:dyDescent="0.25">
      <c r="M167" s="163"/>
      <c r="N167" s="163"/>
      <c r="O167" s="163"/>
      <c r="P167" s="163"/>
      <c r="Q167" s="163"/>
      <c r="R167" s="163"/>
      <c r="S167" s="163"/>
      <c r="T167" s="163"/>
      <c r="U167" s="163"/>
      <c r="V167" s="163"/>
      <c r="W167" s="163"/>
      <c r="X167" s="163"/>
      <c r="Y167" s="163"/>
      <c r="Z167" s="163"/>
      <c r="AA167" s="163"/>
      <c r="AB167" s="163"/>
      <c r="AC167" s="163"/>
    </row>
    <row r="168" spans="1:29" x14ac:dyDescent="0.25">
      <c r="M168" s="163"/>
      <c r="N168" s="163"/>
      <c r="O168" s="163"/>
      <c r="P168" s="163"/>
      <c r="Q168" s="163"/>
      <c r="R168" s="163"/>
      <c r="S168" s="163"/>
      <c r="T168" s="163"/>
      <c r="U168" s="163"/>
      <c r="V168" s="163"/>
      <c r="W168" s="163"/>
      <c r="X168" s="163"/>
      <c r="Y168" s="163"/>
      <c r="Z168" s="163"/>
      <c r="AA168" s="163"/>
      <c r="AB168" s="163"/>
      <c r="AC168" s="163"/>
    </row>
    <row r="169" spans="1:29" x14ac:dyDescent="0.25">
      <c r="M169" s="163"/>
      <c r="N169" s="163"/>
      <c r="O169" s="163"/>
      <c r="P169" s="163"/>
      <c r="Q169" s="163"/>
      <c r="R169" s="163"/>
      <c r="S169" s="163"/>
      <c r="T169" s="163"/>
      <c r="U169" s="163"/>
      <c r="V169" s="163"/>
      <c r="W169" s="163"/>
      <c r="X169" s="163"/>
      <c r="Y169" s="163"/>
      <c r="Z169" s="163"/>
      <c r="AA169" s="163"/>
      <c r="AB169" s="163"/>
      <c r="AC169" s="163"/>
    </row>
    <row r="170" spans="1:29" x14ac:dyDescent="0.25">
      <c r="M170" s="163"/>
      <c r="N170" s="163"/>
      <c r="O170" s="163"/>
      <c r="P170" s="163"/>
      <c r="Q170" s="163"/>
      <c r="R170" s="163"/>
      <c r="S170" s="163"/>
      <c r="T170" s="163"/>
      <c r="U170" s="163"/>
      <c r="V170" s="163"/>
      <c r="W170" s="163"/>
      <c r="X170" s="163"/>
      <c r="Y170" s="163"/>
      <c r="Z170" s="163"/>
      <c r="AA170" s="163"/>
      <c r="AB170" s="163"/>
      <c r="AC170" s="163"/>
    </row>
    <row r="171" spans="1:29" x14ac:dyDescent="0.25">
      <c r="M171" s="163"/>
      <c r="N171" s="163"/>
      <c r="O171" s="163"/>
      <c r="P171" s="163"/>
      <c r="Q171" s="163"/>
      <c r="R171" s="163"/>
      <c r="S171" s="163"/>
      <c r="T171" s="163"/>
      <c r="U171" s="163"/>
      <c r="V171" s="163"/>
      <c r="W171" s="163"/>
      <c r="X171" s="163"/>
      <c r="Y171" s="163"/>
      <c r="Z171" s="163"/>
      <c r="AA171" s="163"/>
      <c r="AB171" s="163"/>
      <c r="AC171" s="163"/>
    </row>
    <row r="172" spans="1:29" x14ac:dyDescent="0.25">
      <c r="M172" s="163"/>
      <c r="N172" s="163"/>
      <c r="O172" s="163"/>
      <c r="P172" s="163"/>
      <c r="Q172" s="163"/>
      <c r="R172" s="163"/>
      <c r="S172" s="163"/>
      <c r="T172" s="163"/>
      <c r="U172" s="163"/>
      <c r="V172" s="163"/>
      <c r="W172" s="163"/>
      <c r="X172" s="163"/>
      <c r="Y172" s="163"/>
      <c r="Z172" s="163"/>
      <c r="AA172" s="163"/>
      <c r="AB172" s="163"/>
      <c r="AC172" s="163"/>
    </row>
    <row r="173" spans="1:29" x14ac:dyDescent="0.25">
      <c r="M173" s="163"/>
      <c r="N173" s="163"/>
      <c r="O173" s="163"/>
      <c r="P173" s="163"/>
      <c r="Q173" s="163"/>
      <c r="R173" s="163"/>
      <c r="S173" s="163"/>
      <c r="T173" s="163"/>
      <c r="U173" s="163"/>
      <c r="V173" s="163"/>
      <c r="W173" s="163"/>
      <c r="X173" s="163"/>
      <c r="Y173" s="163"/>
      <c r="Z173" s="163"/>
      <c r="AA173" s="163"/>
      <c r="AB173" s="163"/>
      <c r="AC173" s="163"/>
    </row>
    <row r="174" spans="1:29" x14ac:dyDescent="0.25">
      <c r="M174" s="163"/>
      <c r="N174" s="163"/>
      <c r="O174" s="163"/>
      <c r="P174" s="163"/>
      <c r="Q174" s="163"/>
      <c r="R174" s="163"/>
      <c r="S174" s="163"/>
      <c r="T174" s="163"/>
      <c r="U174" s="163"/>
      <c r="V174" s="163"/>
      <c r="W174" s="163"/>
      <c r="X174" s="163"/>
      <c r="Y174" s="163"/>
      <c r="Z174" s="163"/>
      <c r="AA174" s="163"/>
      <c r="AB174" s="163"/>
      <c r="AC174" s="163"/>
    </row>
    <row r="175" spans="1:29" x14ac:dyDescent="0.25">
      <c r="M175" s="163"/>
      <c r="N175" s="163"/>
      <c r="O175" s="163"/>
      <c r="P175" s="163"/>
      <c r="Q175" s="163"/>
      <c r="R175" s="163"/>
      <c r="S175" s="163"/>
      <c r="T175" s="163"/>
      <c r="U175" s="163"/>
      <c r="V175" s="163"/>
      <c r="W175" s="163"/>
      <c r="X175" s="163"/>
      <c r="Y175" s="163"/>
      <c r="Z175" s="163"/>
      <c r="AA175" s="163"/>
      <c r="AB175" s="163"/>
      <c r="AC175" s="163"/>
    </row>
    <row r="176" spans="1:29" x14ac:dyDescent="0.25">
      <c r="M176" s="163"/>
      <c r="N176" s="163"/>
      <c r="O176" s="163"/>
      <c r="P176" s="163"/>
      <c r="Q176" s="163"/>
      <c r="R176" s="163"/>
      <c r="S176" s="163"/>
      <c r="T176" s="163"/>
      <c r="U176" s="163"/>
      <c r="V176" s="163"/>
      <c r="W176" s="163"/>
      <c r="X176" s="163"/>
      <c r="Y176" s="163"/>
      <c r="Z176" s="163"/>
      <c r="AA176" s="163"/>
      <c r="AB176" s="163"/>
      <c r="AC176" s="163"/>
    </row>
    <row r="177" spans="13:29" x14ac:dyDescent="0.25">
      <c r="M177" s="163"/>
      <c r="N177" s="163"/>
      <c r="O177" s="163"/>
      <c r="P177" s="163"/>
      <c r="Q177" s="163"/>
      <c r="R177" s="163"/>
      <c r="S177" s="163"/>
      <c r="T177" s="163"/>
      <c r="U177" s="163"/>
      <c r="V177" s="163"/>
      <c r="W177" s="163"/>
      <c r="X177" s="163"/>
      <c r="Y177" s="163"/>
      <c r="Z177" s="163"/>
      <c r="AA177" s="163"/>
      <c r="AB177" s="163"/>
      <c r="AC177" s="163"/>
    </row>
    <row r="178" spans="13:29" x14ac:dyDescent="0.25">
      <c r="M178" s="163"/>
      <c r="N178" s="163"/>
      <c r="O178" s="163"/>
      <c r="P178" s="163"/>
      <c r="Q178" s="163"/>
      <c r="R178" s="163"/>
      <c r="S178" s="163"/>
      <c r="T178" s="163"/>
      <c r="U178" s="163"/>
      <c r="V178" s="163"/>
      <c r="W178" s="163"/>
      <c r="X178" s="163"/>
      <c r="Y178" s="163"/>
      <c r="Z178" s="163"/>
      <c r="AA178" s="163"/>
      <c r="AB178" s="163"/>
      <c r="AC178" s="163"/>
    </row>
    <row r="179" spans="13:29" x14ac:dyDescent="0.25">
      <c r="M179" s="163"/>
      <c r="N179" s="163"/>
      <c r="O179" s="163"/>
      <c r="P179" s="163"/>
      <c r="Q179" s="163"/>
      <c r="R179" s="163"/>
      <c r="S179" s="163"/>
      <c r="T179" s="163"/>
      <c r="U179" s="163"/>
      <c r="V179" s="163"/>
      <c r="W179" s="163"/>
      <c r="X179" s="163"/>
      <c r="Y179" s="163"/>
      <c r="Z179" s="163"/>
      <c r="AA179" s="163"/>
      <c r="AB179" s="163"/>
      <c r="AC179" s="163"/>
    </row>
  </sheetData>
  <sheetProtection algorithmName="SHA-512" hashValue="vl26nS7Zz567OjP+mmX/GNiqsw3hlVO4xiSYIxJPNKj9qCzEeOGc8vgIVNciFY167SrwLNBSXua5QlIi18sHEQ==" saltValue="6ru6jAj52pvpSTMciqXyMA==" spinCount="100000" sheet="1" objects="1" scenarios="1"/>
  <mergeCells count="95">
    <mergeCell ref="B113:C113"/>
    <mergeCell ref="H113:J113"/>
    <mergeCell ref="B118:C118"/>
    <mergeCell ref="A160:L166"/>
    <mergeCell ref="B106:C106"/>
    <mergeCell ref="H106:J106"/>
    <mergeCell ref="B110:C111"/>
    <mergeCell ref="H111:J111"/>
    <mergeCell ref="B112:C112"/>
    <mergeCell ref="H112:J112"/>
    <mergeCell ref="B103:C103"/>
    <mergeCell ref="H103:J103"/>
    <mergeCell ref="B104:C104"/>
    <mergeCell ref="H104:J104"/>
    <mergeCell ref="B105:C105"/>
    <mergeCell ref="H105:J105"/>
    <mergeCell ref="B100:C100"/>
    <mergeCell ref="H100:J100"/>
    <mergeCell ref="B101:C101"/>
    <mergeCell ref="H101:J101"/>
    <mergeCell ref="B102:C102"/>
    <mergeCell ref="H102:J102"/>
    <mergeCell ref="B97:C97"/>
    <mergeCell ref="H97:J97"/>
    <mergeCell ref="B98:C98"/>
    <mergeCell ref="H98:J98"/>
    <mergeCell ref="B99:C99"/>
    <mergeCell ref="H99:J99"/>
    <mergeCell ref="B87:L87"/>
    <mergeCell ref="B88:L88"/>
    <mergeCell ref="B89:L89"/>
    <mergeCell ref="B90:L90"/>
    <mergeCell ref="B95:C96"/>
    <mergeCell ref="H96:J96"/>
    <mergeCell ref="B86:L86"/>
    <mergeCell ref="B70:L70"/>
    <mergeCell ref="B71:L71"/>
    <mergeCell ref="B78:L78"/>
    <mergeCell ref="B79:L79"/>
    <mergeCell ref="B80:L80"/>
    <mergeCell ref="B81:L81"/>
    <mergeCell ref="B82:L82"/>
    <mergeCell ref="B83:L83"/>
    <mergeCell ref="B84:L84"/>
    <mergeCell ref="B85:L85"/>
    <mergeCell ref="H63:J63"/>
    <mergeCell ref="B52:C52"/>
    <mergeCell ref="H52:J52"/>
    <mergeCell ref="M52:N52"/>
    <mergeCell ref="H54:J57"/>
    <mergeCell ref="L54:L57"/>
    <mergeCell ref="H58:J58"/>
    <mergeCell ref="M59:N60"/>
    <mergeCell ref="H60:J62"/>
    <mergeCell ref="L61:L62"/>
    <mergeCell ref="L47:L48"/>
    <mergeCell ref="H48:J48"/>
    <mergeCell ref="H49:J49"/>
    <mergeCell ref="B50:C51"/>
    <mergeCell ref="E50:E51"/>
    <mergeCell ref="H50:J51"/>
    <mergeCell ref="L50:L51"/>
    <mergeCell ref="L38:L39"/>
    <mergeCell ref="E39:G39"/>
    <mergeCell ref="H39:K39"/>
    <mergeCell ref="H40:J40"/>
    <mergeCell ref="H43:J43"/>
    <mergeCell ref="L40:L43"/>
    <mergeCell ref="H44:J44"/>
    <mergeCell ref="B31:C31"/>
    <mergeCell ref="H31:J31"/>
    <mergeCell ref="B33:C33"/>
    <mergeCell ref="H33:J33"/>
    <mergeCell ref="B34:C34"/>
    <mergeCell ref="H34:J34"/>
    <mergeCell ref="H41:J41"/>
    <mergeCell ref="H42:J42"/>
    <mergeCell ref="B23:L23"/>
    <mergeCell ref="B24:L24"/>
    <mergeCell ref="B25:L25"/>
    <mergeCell ref="B26:L26"/>
    <mergeCell ref="B30:C30"/>
    <mergeCell ref="H30:J30"/>
    <mergeCell ref="B22:L22"/>
    <mergeCell ref="B6:L6"/>
    <mergeCell ref="B7:L7"/>
    <mergeCell ref="B8:L8"/>
    <mergeCell ref="B9:L9"/>
    <mergeCell ref="B10:D10"/>
    <mergeCell ref="I12:K12"/>
    <mergeCell ref="B17:L17"/>
    <mergeCell ref="B18:L18"/>
    <mergeCell ref="B19:L19"/>
    <mergeCell ref="B20:L20"/>
    <mergeCell ref="B21:L21"/>
  </mergeCells>
  <conditionalFormatting sqref="B97:C106">
    <cfRule type="expression" dxfId="199" priority="206" stopIfTrue="1">
      <formula>$A$97&gt;0</formula>
    </cfRule>
  </conditionalFormatting>
  <conditionalFormatting sqref="B112:C113">
    <cfRule type="expression" dxfId="198" priority="202" stopIfTrue="1">
      <formula>$A$112&gt;0</formula>
    </cfRule>
  </conditionalFormatting>
  <conditionalFormatting sqref="C54:C56">
    <cfRule type="expression" dxfId="197" priority="329" stopIfTrue="1">
      <formula>E54="Elektriciteit niet-netlevering"</formula>
    </cfRule>
  </conditionalFormatting>
  <conditionalFormatting sqref="E40:E42">
    <cfRule type="expression" dxfId="196" priority="215" stopIfTrue="1">
      <formula>$E$43&gt;0</formula>
    </cfRule>
  </conditionalFormatting>
  <conditionalFormatting sqref="E97:E106">
    <cfRule type="expression" dxfId="194" priority="205" stopIfTrue="1">
      <formula>$A$97&gt;0</formula>
    </cfRule>
  </conditionalFormatting>
  <conditionalFormatting sqref="E112:E113">
    <cfRule type="expression" dxfId="193" priority="201" stopIfTrue="1">
      <formula>$A$112&gt;0</formula>
    </cfRule>
  </conditionalFormatting>
  <conditionalFormatting sqref="E53:F53">
    <cfRule type="expression" dxfId="192" priority="192" stopIfTrue="1">
      <formula>A53="Elektriciteit niet-netlevering"</formula>
    </cfRule>
  </conditionalFormatting>
  <conditionalFormatting sqref="H60">
    <cfRule type="expression" dxfId="191" priority="327" stopIfTrue="1">
      <formula>B14="Geen ETS-correctie"</formula>
    </cfRule>
  </conditionalFormatting>
  <conditionalFormatting sqref="H40:J43">
    <cfRule type="expression" dxfId="190" priority="1">
      <formula>E40&gt;0</formula>
    </cfRule>
  </conditionalFormatting>
  <conditionalFormatting sqref="H44:J44">
    <cfRule type="expression" dxfId="189" priority="231" stopIfTrue="1">
      <formula>OR($E$44=0,A44="Productie afvang en opslag CO₂ (ton/jaar)")</formula>
    </cfRule>
  </conditionalFormatting>
  <conditionalFormatting sqref="H49:J49 L49">
    <cfRule type="expression" dxfId="188" priority="198" stopIfTrue="1">
      <formula>$B$7="Geen ETS-correctie"</formula>
    </cfRule>
  </conditionalFormatting>
  <conditionalFormatting sqref="H52:J52">
    <cfRule type="expression" dxfId="187" priority="334" stopIfTrue="1">
      <formula>#REF!="Elektriciteit netlevering"</formula>
    </cfRule>
  </conditionalFormatting>
  <conditionalFormatting sqref="H58:J58">
    <cfRule type="expression" dxfId="186" priority="332">
      <formula>A44="Productie afvang en opslag CO₂ (ton/jaar)"</formula>
    </cfRule>
    <cfRule type="expression" dxfId="185" priority="333" stopIfTrue="1">
      <formula>#REF!="Elektriciteit netlevering"</formula>
    </cfRule>
  </conditionalFormatting>
  <conditionalFormatting sqref="H59:J59">
    <cfRule type="expression" dxfId="184" priority="330" stopIfTrue="1">
      <formula>B12="Geen ETS-correctie"</formula>
    </cfRule>
  </conditionalFormatting>
  <conditionalFormatting sqref="H63:J64">
    <cfRule type="expression" dxfId="183" priority="196" stopIfTrue="1">
      <formula>B7="Geen ETS-correctie"</formula>
    </cfRule>
  </conditionalFormatting>
  <conditionalFormatting sqref="H65:J66">
    <cfRule type="expression" dxfId="182" priority="331" stopIfTrue="1">
      <formula>B12="Geen ETS-correctie"</formula>
    </cfRule>
  </conditionalFormatting>
  <conditionalFormatting sqref="H67:J67">
    <cfRule type="expression" dxfId="181" priority="336" stopIfTrue="1">
      <formula>B13="Geen ETS-correctie"</formula>
    </cfRule>
  </conditionalFormatting>
  <conditionalFormatting sqref="H97:J106">
    <cfRule type="expression" dxfId="180" priority="204" stopIfTrue="1">
      <formula>$A$97&gt;0</formula>
    </cfRule>
  </conditionalFormatting>
  <conditionalFormatting sqref="H112:J113">
    <cfRule type="expression" dxfId="179" priority="200" stopIfTrue="1">
      <formula>$A$112&gt;0</formula>
    </cfRule>
  </conditionalFormatting>
  <conditionalFormatting sqref="L40">
    <cfRule type="expression" dxfId="178" priority="5">
      <formula>OR(E40&gt;0,E41&gt;0,E42&gt;0,E43&gt;0)</formula>
    </cfRule>
  </conditionalFormatting>
  <conditionalFormatting sqref="L44">
    <cfRule type="expression" dxfId="177" priority="207" stopIfTrue="1">
      <formula>OR($E$44=0,A44="Productie afvang en opslag CO₂ (ton/jaar)")</formula>
    </cfRule>
  </conditionalFormatting>
  <conditionalFormatting sqref="L58">
    <cfRule type="expression" dxfId="176" priority="190">
      <formula>A44="Productie afvang en opslag CO₂ (ton/jaar)"</formula>
    </cfRule>
  </conditionalFormatting>
  <conditionalFormatting sqref="L63:L64">
    <cfRule type="expression" dxfId="175" priority="195" stopIfTrue="1">
      <formula>B7="Geen ETS-correctie"</formula>
    </cfRule>
  </conditionalFormatting>
  <conditionalFormatting sqref="L97:L106">
    <cfRule type="expression" dxfId="174" priority="203" stopIfTrue="1">
      <formula>$A$97&gt;0</formula>
    </cfRule>
  </conditionalFormatting>
  <conditionalFormatting sqref="L112:L113">
    <cfRule type="expression" dxfId="173" priority="199" stopIfTrue="1">
      <formula>$A$112&gt;0</formula>
    </cfRule>
  </conditionalFormatting>
  <conditionalFormatting sqref="V70">
    <cfRule type="expression" dxfId="172" priority="189">
      <formula>B12=8</formula>
    </cfRule>
  </conditionalFormatting>
  <conditionalFormatting sqref="V71">
    <cfRule type="expression" dxfId="171" priority="188">
      <formula>B12=8</formula>
    </cfRule>
  </conditionalFormatting>
  <conditionalFormatting sqref="V78">
    <cfRule type="expression" dxfId="170" priority="113">
      <formula>B12=8</formula>
    </cfRule>
  </conditionalFormatting>
  <conditionalFormatting sqref="V79:V89">
    <cfRule type="expression" dxfId="169" priority="114">
      <formula>B12=8</formula>
    </cfRule>
  </conditionalFormatting>
  <conditionalFormatting sqref="V90">
    <cfRule type="expression" dxfId="168" priority="112">
      <formula>B12=8</formula>
    </cfRule>
  </conditionalFormatting>
  <conditionalFormatting sqref="W70">
    <cfRule type="expression" dxfId="167" priority="185">
      <formula>B12=9</formula>
    </cfRule>
    <cfRule type="expression" dxfId="166" priority="186">
      <formula>B12&gt;8</formula>
    </cfRule>
    <cfRule type="expression" dxfId="165" priority="187">
      <formula>B12&gt;8</formula>
    </cfRule>
  </conditionalFormatting>
  <conditionalFormatting sqref="W71">
    <cfRule type="expression" dxfId="164" priority="181">
      <formula>B12=9</formula>
    </cfRule>
    <cfRule type="expression" dxfId="163" priority="184">
      <formula>B12&gt;8</formula>
    </cfRule>
    <cfRule type="expression" dxfId="162" priority="183">
      <formula>B12&gt;8</formula>
    </cfRule>
  </conditionalFormatting>
  <conditionalFormatting sqref="W78">
    <cfRule type="expression" dxfId="161" priority="111">
      <formula>B12&gt;8</formula>
    </cfRule>
    <cfRule type="expression" dxfId="160" priority="110">
      <formula>B12=9</formula>
    </cfRule>
    <cfRule type="expression" dxfId="159" priority="311" stopIfTrue="1">
      <formula>B12&gt;8</formula>
    </cfRule>
  </conditionalFormatting>
  <conditionalFormatting sqref="W79:W89">
    <cfRule type="expression" dxfId="158" priority="101">
      <formula>$B$12&gt;8</formula>
    </cfRule>
    <cfRule type="expression" dxfId="157" priority="100">
      <formula>$B$12=9</formula>
    </cfRule>
  </conditionalFormatting>
  <conditionalFormatting sqref="W90">
    <cfRule type="expression" dxfId="156" priority="109">
      <formula>B12&gt;8</formula>
    </cfRule>
    <cfRule type="expression" dxfId="155" priority="108">
      <formula>B12=9</formula>
    </cfRule>
    <cfRule type="expression" dxfId="154" priority="308" stopIfTrue="1">
      <formula>B12&gt;8</formula>
    </cfRule>
  </conditionalFormatting>
  <conditionalFormatting sqref="X70">
    <cfRule type="expression" dxfId="153" priority="180">
      <formula>B12&gt;9</formula>
    </cfRule>
    <cfRule type="expression" dxfId="152" priority="179">
      <formula>B12&gt;9</formula>
    </cfRule>
    <cfRule type="expression" dxfId="151" priority="178">
      <formula>B12=10</formula>
    </cfRule>
  </conditionalFormatting>
  <conditionalFormatting sqref="X71">
    <cfRule type="expression" dxfId="150" priority="175">
      <formula>B12=10</formula>
    </cfRule>
    <cfRule type="expression" dxfId="149" priority="176">
      <formula>B12&gt;9</formula>
    </cfRule>
    <cfRule type="expression" dxfId="148" priority="177">
      <formula>B12&gt;9</formula>
    </cfRule>
  </conditionalFormatting>
  <conditionalFormatting sqref="X78">
    <cfRule type="expression" dxfId="147" priority="91">
      <formula>B12&gt;9</formula>
    </cfRule>
    <cfRule type="expression" dxfId="146" priority="90">
      <formula>B12&gt;9</formula>
    </cfRule>
    <cfRule type="expression" dxfId="145" priority="89">
      <formula>B12=10</formula>
    </cfRule>
  </conditionalFormatting>
  <conditionalFormatting sqref="X79:X89">
    <cfRule type="expression" dxfId="144" priority="98">
      <formula>$B$12=10</formula>
    </cfRule>
    <cfRule type="expression" dxfId="143" priority="99">
      <formula>$B$12&gt;9</formula>
    </cfRule>
  </conditionalFormatting>
  <conditionalFormatting sqref="X80:X89">
    <cfRule type="expression" dxfId="142" priority="103">
      <formula>B13&gt;9</formula>
    </cfRule>
  </conditionalFormatting>
  <conditionalFormatting sqref="X90">
    <cfRule type="expression" dxfId="141" priority="88">
      <formula>B12&gt;9</formula>
    </cfRule>
    <cfRule type="expression" dxfId="140" priority="87">
      <formula>B12&gt;9</formula>
    </cfRule>
    <cfRule type="expression" dxfId="139" priority="86">
      <formula>B12=10</formula>
    </cfRule>
  </conditionalFormatting>
  <conditionalFormatting sqref="Y70">
    <cfRule type="expression" dxfId="138" priority="173">
      <formula>B12&gt;10</formula>
    </cfRule>
    <cfRule type="expression" dxfId="137" priority="174">
      <formula>B12&gt;10</formula>
    </cfRule>
    <cfRule type="expression" dxfId="136" priority="172">
      <formula>B12=11</formula>
    </cfRule>
  </conditionalFormatting>
  <conditionalFormatting sqref="Y71">
    <cfRule type="expression" priority="169">
      <formula>B12=11</formula>
    </cfRule>
    <cfRule type="expression" dxfId="135" priority="171">
      <formula>B12&gt;10</formula>
    </cfRule>
    <cfRule type="expression" dxfId="134" priority="170">
      <formula>B12&gt;10</formula>
    </cfRule>
  </conditionalFormatting>
  <conditionalFormatting sqref="Y78">
    <cfRule type="expression" dxfId="133" priority="84">
      <formula>B12&gt;10</formula>
    </cfRule>
    <cfRule type="expression" dxfId="132" priority="83">
      <formula>B12=11</formula>
    </cfRule>
    <cfRule type="expression" dxfId="131" priority="85">
      <formula>B12&gt;10</formula>
    </cfRule>
  </conditionalFormatting>
  <conditionalFormatting sqref="Y79:Y89">
    <cfRule type="expression" dxfId="130" priority="97">
      <formula>$B$12&gt;10</formula>
    </cfRule>
    <cfRule type="expression" dxfId="129" priority="96">
      <formula>$B$12=11</formula>
    </cfRule>
  </conditionalFormatting>
  <conditionalFormatting sqref="Y90">
    <cfRule type="expression" dxfId="128" priority="82">
      <formula>B12&gt;10</formula>
    </cfRule>
    <cfRule type="expression" dxfId="127" priority="81">
      <formula>B12&gt;10</formula>
    </cfRule>
    <cfRule type="expression" dxfId="126" priority="80">
      <formula>B12=11</formula>
    </cfRule>
  </conditionalFormatting>
  <conditionalFormatting sqref="Z70">
    <cfRule type="expression" dxfId="125" priority="167">
      <formula>B12&gt;11</formula>
    </cfRule>
    <cfRule type="expression" dxfId="124" priority="166">
      <formula>B12=12</formula>
    </cfRule>
    <cfRule type="expression" dxfId="123" priority="168">
      <formula>B12&gt;11</formula>
    </cfRule>
  </conditionalFormatting>
  <conditionalFormatting sqref="Z71">
    <cfRule type="expression" dxfId="122" priority="165">
      <formula>B12&gt;11</formula>
    </cfRule>
    <cfRule type="expression" dxfId="121" priority="163">
      <formula>B12=12</formula>
    </cfRule>
    <cfRule type="expression" dxfId="120" priority="164">
      <formula>B12&gt;11</formula>
    </cfRule>
  </conditionalFormatting>
  <conditionalFormatting sqref="Z78">
    <cfRule type="expression" dxfId="119" priority="78">
      <formula>B12&gt;11</formula>
    </cfRule>
    <cfRule type="expression" dxfId="118" priority="77">
      <formula>B12=12</formula>
    </cfRule>
    <cfRule type="expression" dxfId="117" priority="79">
      <formula>B12&gt;11</formula>
    </cfRule>
  </conditionalFormatting>
  <conditionalFormatting sqref="Z79:Z89">
    <cfRule type="expression" dxfId="116" priority="95">
      <formula>$B$12&gt;11</formula>
    </cfRule>
    <cfRule type="expression" dxfId="115" priority="94">
      <formula>$B$12=12</formula>
    </cfRule>
  </conditionalFormatting>
  <conditionalFormatting sqref="Z90">
    <cfRule type="expression" dxfId="114" priority="76">
      <formula>B12&gt;11</formula>
    </cfRule>
    <cfRule type="expression" dxfId="113" priority="75">
      <formula>B12&gt;11</formula>
    </cfRule>
    <cfRule type="expression" dxfId="112" priority="74">
      <formula>B12=12</formula>
    </cfRule>
  </conditionalFormatting>
  <conditionalFormatting sqref="AA70">
    <cfRule type="expression" dxfId="111" priority="161">
      <formula>B12&gt;12</formula>
    </cfRule>
    <cfRule type="expression" dxfId="110" priority="160">
      <formula>B12=13</formula>
    </cfRule>
    <cfRule type="expression" dxfId="109" priority="162">
      <formula>B12&gt;12</formula>
    </cfRule>
  </conditionalFormatting>
  <conditionalFormatting sqref="AA71">
    <cfRule type="expression" dxfId="108" priority="159">
      <formula>B12&gt;12</formula>
    </cfRule>
    <cfRule type="expression" dxfId="107" priority="158">
      <formula>B12&gt;12</formula>
    </cfRule>
    <cfRule type="expression" dxfId="106" priority="157">
      <formula>B12=13</formula>
    </cfRule>
  </conditionalFormatting>
  <conditionalFormatting sqref="AA78">
    <cfRule type="expression" dxfId="105" priority="71">
      <formula>B12=13</formula>
    </cfRule>
    <cfRule type="expression" dxfId="104" priority="72">
      <formula>B12&gt;12</formula>
    </cfRule>
    <cfRule type="expression" dxfId="103" priority="73">
      <formula>B12&gt;12</formula>
    </cfRule>
  </conditionalFormatting>
  <conditionalFormatting sqref="AA79:AA89">
    <cfRule type="expression" dxfId="102" priority="93">
      <formula>$B$12&gt;12</formula>
    </cfRule>
    <cfRule type="expression" dxfId="101" priority="92">
      <formula>$B$12=13</formula>
    </cfRule>
  </conditionalFormatting>
  <conditionalFormatting sqref="AA90">
    <cfRule type="expression" dxfId="100" priority="68">
      <formula>B12=13</formula>
    </cfRule>
    <cfRule type="expression" dxfId="99" priority="69">
      <formula>B12&gt;12</formula>
    </cfRule>
    <cfRule type="expression" dxfId="98" priority="70">
      <formula>B12&gt;12</formula>
    </cfRule>
  </conditionalFormatting>
  <conditionalFormatting sqref="AB70">
    <cfRule type="expression" dxfId="97" priority="154">
      <formula>B12=14</formula>
    </cfRule>
    <cfRule type="expression" dxfId="96" priority="155">
      <formula>B12&gt;13</formula>
    </cfRule>
    <cfRule type="expression" dxfId="95" priority="156">
      <formula>B12&gt;13</formula>
    </cfRule>
  </conditionalFormatting>
  <conditionalFormatting sqref="AB71">
    <cfRule type="expression" dxfId="94" priority="151">
      <formula>B12=14</formula>
    </cfRule>
    <cfRule type="expression" dxfId="93" priority="152">
      <formula>+B12&gt;13</formula>
    </cfRule>
    <cfRule type="expression" dxfId="92" priority="153">
      <formula>B12&gt;13</formula>
    </cfRule>
  </conditionalFormatting>
  <conditionalFormatting sqref="AB78">
    <cfRule type="expression" dxfId="91" priority="64">
      <formula>B12&gt;13</formula>
    </cfRule>
    <cfRule type="expression" dxfId="90" priority="63">
      <formula>B12=14</formula>
    </cfRule>
    <cfRule type="expression" dxfId="89" priority="65">
      <formula>B12&gt;13</formula>
    </cfRule>
  </conditionalFormatting>
  <conditionalFormatting sqref="AB79:AB89">
    <cfRule type="expression" dxfId="88" priority="66">
      <formula>$B$12=14</formula>
    </cfRule>
    <cfRule type="expression" dxfId="87" priority="67">
      <formula>$B$12&gt;13</formula>
    </cfRule>
  </conditionalFormatting>
  <conditionalFormatting sqref="AB90">
    <cfRule type="expression" dxfId="86" priority="60">
      <formula>B12=14</formula>
    </cfRule>
    <cfRule type="expression" dxfId="85" priority="62">
      <formula>B12&gt;13</formula>
    </cfRule>
    <cfRule type="expression" dxfId="84" priority="61">
      <formula>B12&gt;13</formula>
    </cfRule>
  </conditionalFormatting>
  <conditionalFormatting sqref="AC70">
    <cfRule type="expression" dxfId="83" priority="149">
      <formula>B12&gt;14</formula>
    </cfRule>
    <cfRule type="expression" dxfId="82" priority="150">
      <formula>B12&gt;14</formula>
    </cfRule>
    <cfRule type="expression" dxfId="81" priority="148">
      <formula>B12=15</formula>
    </cfRule>
  </conditionalFormatting>
  <conditionalFormatting sqref="AC71">
    <cfRule type="expression" dxfId="80" priority="145">
      <formula>B12=15</formula>
    </cfRule>
    <cfRule type="expression" dxfId="79" priority="147">
      <formula>B12&gt;14</formula>
    </cfRule>
    <cfRule type="expression" dxfId="78" priority="146">
      <formula>B12&gt;14</formula>
    </cfRule>
  </conditionalFormatting>
  <conditionalFormatting sqref="AC78">
    <cfRule type="expression" dxfId="77" priority="55">
      <formula>B12=15</formula>
    </cfRule>
    <cfRule type="expression" dxfId="76" priority="56">
      <formula>B12&gt;14</formula>
    </cfRule>
    <cfRule type="expression" dxfId="75" priority="57">
      <formula>B12&gt;14</formula>
    </cfRule>
  </conditionalFormatting>
  <conditionalFormatting sqref="AC79:AC89">
    <cfRule type="expression" dxfId="74" priority="58">
      <formula>$B$12=15</formula>
    </cfRule>
    <cfRule type="expression" dxfId="73" priority="59">
      <formula>$B$12&gt;14</formula>
    </cfRule>
  </conditionalFormatting>
  <conditionalFormatting sqref="AC90">
    <cfRule type="expression" dxfId="72" priority="54">
      <formula>B12&gt;14</formula>
    </cfRule>
    <cfRule type="expression" dxfId="71" priority="53">
      <formula>B12&gt;14</formula>
    </cfRule>
    <cfRule type="expression" dxfId="70" priority="52">
      <formula>B12=15</formula>
    </cfRule>
  </conditionalFormatting>
  <conditionalFormatting sqref="AD70">
    <cfRule type="expression" dxfId="69" priority="144">
      <formula>B12&gt;15</formula>
    </cfRule>
    <cfRule type="expression" dxfId="68" priority="143">
      <formula>B12&gt;15</formula>
    </cfRule>
    <cfRule type="expression" dxfId="67" priority="142">
      <formula>B12=16</formula>
    </cfRule>
  </conditionalFormatting>
  <conditionalFormatting sqref="AD71">
    <cfRule type="expression" dxfId="66" priority="141">
      <formula>B12&gt;15</formula>
    </cfRule>
    <cfRule type="expression" dxfId="65" priority="140">
      <formula>B12&gt;15</formula>
    </cfRule>
    <cfRule type="expression" dxfId="64" priority="139">
      <formula>B12=16</formula>
    </cfRule>
  </conditionalFormatting>
  <conditionalFormatting sqref="AD78">
    <cfRule type="expression" dxfId="63" priority="49">
      <formula>B12&gt;15</formula>
    </cfRule>
    <cfRule type="expression" dxfId="62" priority="48">
      <formula>B12=16</formula>
    </cfRule>
    <cfRule type="expression" dxfId="61" priority="47">
      <formula>B12&gt;15</formula>
    </cfRule>
  </conditionalFormatting>
  <conditionalFormatting sqref="AD79:AD89">
    <cfRule type="expression" dxfId="60" priority="50">
      <formula>$B$12=16</formula>
    </cfRule>
    <cfRule type="expression" dxfId="59" priority="51">
      <formula>$B$12&gt;15</formula>
    </cfRule>
  </conditionalFormatting>
  <conditionalFormatting sqref="AD90">
    <cfRule type="expression" dxfId="58" priority="44">
      <formula>B12=16</formula>
    </cfRule>
    <cfRule type="expression" dxfId="57" priority="46">
      <formula>B12&gt;15</formula>
    </cfRule>
    <cfRule type="expression" dxfId="56" priority="45">
      <formula>B12&gt;15</formula>
    </cfRule>
  </conditionalFormatting>
  <conditionalFormatting sqref="AE70">
    <cfRule type="expression" dxfId="55" priority="138">
      <formula>B12&gt;16</formula>
    </cfRule>
    <cfRule type="expression" dxfId="54" priority="137">
      <formula>B12&gt;16</formula>
    </cfRule>
    <cfRule type="expression" dxfId="53" priority="136">
      <formula>B12=17</formula>
    </cfRule>
  </conditionalFormatting>
  <conditionalFormatting sqref="AE71">
    <cfRule type="expression" dxfId="52" priority="135">
      <formula>B12&gt;16</formula>
    </cfRule>
    <cfRule type="expression" dxfId="51" priority="134">
      <formula>B12&gt;16</formula>
    </cfRule>
    <cfRule type="expression" dxfId="50" priority="133">
      <formula>B12=17</formula>
    </cfRule>
  </conditionalFormatting>
  <conditionalFormatting sqref="AE78">
    <cfRule type="expression" dxfId="49" priority="39">
      <formula>"B12=17"</formula>
    </cfRule>
    <cfRule type="expression" dxfId="48" priority="40">
      <formula>B12&gt;16</formula>
    </cfRule>
    <cfRule type="expression" dxfId="47" priority="41">
      <formula>B12&gt;16</formula>
    </cfRule>
  </conditionalFormatting>
  <conditionalFormatting sqref="AE79:AE89">
    <cfRule type="expression" dxfId="46" priority="43">
      <formula>$B$12&gt;16</formula>
    </cfRule>
    <cfRule type="expression" dxfId="45" priority="42">
      <formula>$B$12=17</formula>
    </cfRule>
  </conditionalFormatting>
  <conditionalFormatting sqref="AE90">
    <cfRule type="expression" dxfId="44" priority="36">
      <formula>B12=17</formula>
    </cfRule>
    <cfRule type="expression" dxfId="43" priority="37">
      <formula>B12&gt;16</formula>
    </cfRule>
    <cfRule type="expression" dxfId="42" priority="38">
      <formula>B12&gt;16</formula>
    </cfRule>
  </conditionalFormatting>
  <conditionalFormatting sqref="AF70">
    <cfRule type="expression" dxfId="41" priority="132">
      <formula>B12&gt;17</formula>
    </cfRule>
    <cfRule type="expression" dxfId="40" priority="131">
      <formula>B12&gt;17</formula>
    </cfRule>
    <cfRule type="expression" dxfId="39" priority="130">
      <formula>B12=18</formula>
    </cfRule>
  </conditionalFormatting>
  <conditionalFormatting sqref="AF71">
    <cfRule type="expression" dxfId="38" priority="129">
      <formula>B12&gt;17</formula>
    </cfRule>
    <cfRule type="expression" dxfId="37" priority="128">
      <formula>B12&gt;17</formula>
    </cfRule>
    <cfRule type="expression" dxfId="36" priority="127">
      <formula>B12=18</formula>
    </cfRule>
  </conditionalFormatting>
  <conditionalFormatting sqref="AF78">
    <cfRule type="expression" dxfId="35" priority="31">
      <formula>B12=18</formula>
    </cfRule>
    <cfRule type="expression" dxfId="34" priority="33">
      <formula>B12&gt;17</formula>
    </cfRule>
    <cfRule type="expression" dxfId="33" priority="32">
      <formula>B12&gt;17</formula>
    </cfRule>
  </conditionalFormatting>
  <conditionalFormatting sqref="AF79:AF89">
    <cfRule type="expression" dxfId="32" priority="34">
      <formula>B12=18</formula>
    </cfRule>
    <cfRule type="expression" dxfId="31" priority="35">
      <formula>$B$12&gt;17</formula>
    </cfRule>
  </conditionalFormatting>
  <conditionalFormatting sqref="AF90">
    <cfRule type="expression" dxfId="30" priority="30">
      <formula>+B12&gt;17</formula>
    </cfRule>
    <cfRule type="expression" dxfId="29" priority="29">
      <formula>B12&gt;17</formula>
    </cfRule>
    <cfRule type="expression" dxfId="28" priority="28">
      <formula>B12=18</formula>
    </cfRule>
  </conditionalFormatting>
  <conditionalFormatting sqref="AG70">
    <cfRule type="expression" dxfId="27" priority="124">
      <formula>B12=19</formula>
    </cfRule>
    <cfRule type="expression" dxfId="26" priority="125">
      <formula>B12&gt;18</formula>
    </cfRule>
    <cfRule type="expression" dxfId="25" priority="126">
      <formula>B12&gt;18</formula>
    </cfRule>
  </conditionalFormatting>
  <conditionalFormatting sqref="AG71">
    <cfRule type="expression" dxfId="24" priority="123">
      <formula>B12&gt;18</formula>
    </cfRule>
    <cfRule type="expression" dxfId="23" priority="122">
      <formula>B12&gt;18</formula>
    </cfRule>
    <cfRule type="expression" dxfId="22" priority="121">
      <formula>B12=19</formula>
    </cfRule>
  </conditionalFormatting>
  <conditionalFormatting sqref="AG78">
    <cfRule type="expression" dxfId="21" priority="25">
      <formula>B12&gt;18</formula>
    </cfRule>
    <cfRule type="expression" dxfId="20" priority="24">
      <formula>B12&gt;18</formula>
    </cfRule>
    <cfRule type="expression" dxfId="19" priority="23">
      <formula>B12=19</formula>
    </cfRule>
  </conditionalFormatting>
  <conditionalFormatting sqref="AG79:AG89">
    <cfRule type="expression" dxfId="18" priority="27">
      <formula>$B$12&gt;18</formula>
    </cfRule>
    <cfRule type="expression" dxfId="17" priority="26">
      <formula>$B$12=19</formula>
    </cfRule>
  </conditionalFormatting>
  <conditionalFormatting sqref="AG90">
    <cfRule type="expression" dxfId="16" priority="22">
      <formula>B12&gt;18</formula>
    </cfRule>
    <cfRule type="expression" dxfId="15" priority="21">
      <formula>B12&gt;18</formula>
    </cfRule>
    <cfRule type="expression" dxfId="14" priority="20">
      <formula>B12=19</formula>
    </cfRule>
  </conditionalFormatting>
  <conditionalFormatting sqref="AH70">
    <cfRule type="expression" dxfId="13" priority="120">
      <formula>B12&gt;19</formula>
    </cfRule>
    <cfRule type="expression" dxfId="12" priority="119">
      <formula>B12&gt;19</formula>
    </cfRule>
    <cfRule type="expression" dxfId="11" priority="118">
      <formula>B12=20</formula>
    </cfRule>
  </conditionalFormatting>
  <conditionalFormatting sqref="AH71">
    <cfRule type="expression" dxfId="10" priority="116">
      <formula>+B12&gt;19</formula>
    </cfRule>
    <cfRule type="expression" dxfId="9" priority="115">
      <formula>B12=20</formula>
    </cfRule>
    <cfRule type="expression" dxfId="8" priority="117">
      <formula>B12&gt;19</formula>
    </cfRule>
  </conditionalFormatting>
  <conditionalFormatting sqref="AH78">
    <cfRule type="expression" dxfId="7" priority="17">
      <formula>B12&gt;19</formula>
    </cfRule>
    <cfRule type="expression" dxfId="6" priority="16">
      <formula>B12&gt;19</formula>
    </cfRule>
    <cfRule type="expression" dxfId="5" priority="15">
      <formula>B12=20</formula>
    </cfRule>
  </conditionalFormatting>
  <conditionalFormatting sqref="AH79:AH89">
    <cfRule type="expression" dxfId="4" priority="18">
      <formula>$B$12=20</formula>
    </cfRule>
    <cfRule type="expression" dxfId="3" priority="19">
      <formula>$B$12&gt;19</formula>
    </cfRule>
  </conditionalFormatting>
  <conditionalFormatting sqref="AH90">
    <cfRule type="expression" dxfId="2" priority="14">
      <formula>B12&gt;19</formula>
    </cfRule>
    <cfRule type="expression" dxfId="1" priority="13">
      <formula>B12&gt;19</formula>
    </cfRule>
    <cfRule type="expression" dxfId="0" priority="12">
      <formula>B12=20</formula>
    </cfRule>
  </conditionalFormatting>
  <dataValidations count="8">
    <dataValidation type="decimal" allowBlank="1" showInputMessage="1" showErrorMessage="1" error="U kunt maximaal een percentage van 3,0% invullen. Klik op &quot;Annuleren&quot; en vul een ander percentage in. " sqref="L52 JH52 TD52 ACZ52 AMV52 AWR52 BGN52 BQJ52 CAF52 CKB52 CTX52 DDT52 DNP52 DXL52 EHH52 ERD52 FAZ52 FKV52 FUR52 GEN52 GOJ52 GYF52 HIB52 HRX52 IBT52 ILP52 IVL52 JFH52 JPD52 JYZ52 KIV52 KSR52 LCN52 LMJ52 LWF52 MGB52 MPX52 MZT52 NJP52 NTL52 ODH52 OND52 OWZ52 PGV52 PQR52 QAN52 QKJ52 QUF52 REB52 RNX52 RXT52 SHP52 SRL52 TBH52 TLD52 TUZ52 UEV52 UOR52 UYN52 VIJ52 VSF52 WCB52 WLX52 WVT52 L65585 JH65585 TD65585 ACZ65585 AMV65585 AWR65585 BGN65585 BQJ65585 CAF65585 CKB65585 CTX65585 DDT65585 DNP65585 DXL65585 EHH65585 ERD65585 FAZ65585 FKV65585 FUR65585 GEN65585 GOJ65585 GYF65585 HIB65585 HRX65585 IBT65585 ILP65585 IVL65585 JFH65585 JPD65585 JYZ65585 KIV65585 KSR65585 LCN65585 LMJ65585 LWF65585 MGB65585 MPX65585 MZT65585 NJP65585 NTL65585 ODH65585 OND65585 OWZ65585 PGV65585 PQR65585 QAN65585 QKJ65585 QUF65585 REB65585 RNX65585 RXT65585 SHP65585 SRL65585 TBH65585 TLD65585 TUZ65585 UEV65585 UOR65585 UYN65585 VIJ65585 VSF65585 WCB65585 WLX65585 WVT65585 L131121 JH131121 TD131121 ACZ131121 AMV131121 AWR131121 BGN131121 BQJ131121 CAF131121 CKB131121 CTX131121 DDT131121 DNP131121 DXL131121 EHH131121 ERD131121 FAZ131121 FKV131121 FUR131121 GEN131121 GOJ131121 GYF131121 HIB131121 HRX131121 IBT131121 ILP131121 IVL131121 JFH131121 JPD131121 JYZ131121 KIV131121 KSR131121 LCN131121 LMJ131121 LWF131121 MGB131121 MPX131121 MZT131121 NJP131121 NTL131121 ODH131121 OND131121 OWZ131121 PGV131121 PQR131121 QAN131121 QKJ131121 QUF131121 REB131121 RNX131121 RXT131121 SHP131121 SRL131121 TBH131121 TLD131121 TUZ131121 UEV131121 UOR131121 UYN131121 VIJ131121 VSF131121 WCB131121 WLX131121 WVT131121 L196657 JH196657 TD196657 ACZ196657 AMV196657 AWR196657 BGN196657 BQJ196657 CAF196657 CKB196657 CTX196657 DDT196657 DNP196657 DXL196657 EHH196657 ERD196657 FAZ196657 FKV196657 FUR196657 GEN196657 GOJ196657 GYF196657 HIB196657 HRX196657 IBT196657 ILP196657 IVL196657 JFH196657 JPD196657 JYZ196657 KIV196657 KSR196657 LCN196657 LMJ196657 LWF196657 MGB196657 MPX196657 MZT196657 NJP196657 NTL196657 ODH196657 OND196657 OWZ196657 PGV196657 PQR196657 QAN196657 QKJ196657 QUF196657 REB196657 RNX196657 RXT196657 SHP196657 SRL196657 TBH196657 TLD196657 TUZ196657 UEV196657 UOR196657 UYN196657 VIJ196657 VSF196657 WCB196657 WLX196657 WVT196657 L262193 JH262193 TD262193 ACZ262193 AMV262193 AWR262193 BGN262193 BQJ262193 CAF262193 CKB262193 CTX262193 DDT262193 DNP262193 DXL262193 EHH262193 ERD262193 FAZ262193 FKV262193 FUR262193 GEN262193 GOJ262193 GYF262193 HIB262193 HRX262193 IBT262193 ILP262193 IVL262193 JFH262193 JPD262193 JYZ262193 KIV262193 KSR262193 LCN262193 LMJ262193 LWF262193 MGB262193 MPX262193 MZT262193 NJP262193 NTL262193 ODH262193 OND262193 OWZ262193 PGV262193 PQR262193 QAN262193 QKJ262193 QUF262193 REB262193 RNX262193 RXT262193 SHP262193 SRL262193 TBH262193 TLD262193 TUZ262193 UEV262193 UOR262193 UYN262193 VIJ262193 VSF262193 WCB262193 WLX262193 WVT262193 L327729 JH327729 TD327729 ACZ327729 AMV327729 AWR327729 BGN327729 BQJ327729 CAF327729 CKB327729 CTX327729 DDT327729 DNP327729 DXL327729 EHH327729 ERD327729 FAZ327729 FKV327729 FUR327729 GEN327729 GOJ327729 GYF327729 HIB327729 HRX327729 IBT327729 ILP327729 IVL327729 JFH327729 JPD327729 JYZ327729 KIV327729 KSR327729 LCN327729 LMJ327729 LWF327729 MGB327729 MPX327729 MZT327729 NJP327729 NTL327729 ODH327729 OND327729 OWZ327729 PGV327729 PQR327729 QAN327729 QKJ327729 QUF327729 REB327729 RNX327729 RXT327729 SHP327729 SRL327729 TBH327729 TLD327729 TUZ327729 UEV327729 UOR327729 UYN327729 VIJ327729 VSF327729 WCB327729 WLX327729 WVT327729 L393265 JH393265 TD393265 ACZ393265 AMV393265 AWR393265 BGN393265 BQJ393265 CAF393265 CKB393265 CTX393265 DDT393265 DNP393265 DXL393265 EHH393265 ERD393265 FAZ393265 FKV393265 FUR393265 GEN393265 GOJ393265 GYF393265 HIB393265 HRX393265 IBT393265 ILP393265 IVL393265 JFH393265 JPD393265 JYZ393265 KIV393265 KSR393265 LCN393265 LMJ393265 LWF393265 MGB393265 MPX393265 MZT393265 NJP393265 NTL393265 ODH393265 OND393265 OWZ393265 PGV393265 PQR393265 QAN393265 QKJ393265 QUF393265 REB393265 RNX393265 RXT393265 SHP393265 SRL393265 TBH393265 TLD393265 TUZ393265 UEV393265 UOR393265 UYN393265 VIJ393265 VSF393265 WCB393265 WLX393265 WVT393265 L458801 JH458801 TD458801 ACZ458801 AMV458801 AWR458801 BGN458801 BQJ458801 CAF458801 CKB458801 CTX458801 DDT458801 DNP458801 DXL458801 EHH458801 ERD458801 FAZ458801 FKV458801 FUR458801 GEN458801 GOJ458801 GYF458801 HIB458801 HRX458801 IBT458801 ILP458801 IVL458801 JFH458801 JPD458801 JYZ458801 KIV458801 KSR458801 LCN458801 LMJ458801 LWF458801 MGB458801 MPX458801 MZT458801 NJP458801 NTL458801 ODH458801 OND458801 OWZ458801 PGV458801 PQR458801 QAN458801 QKJ458801 QUF458801 REB458801 RNX458801 RXT458801 SHP458801 SRL458801 TBH458801 TLD458801 TUZ458801 UEV458801 UOR458801 UYN458801 VIJ458801 VSF458801 WCB458801 WLX458801 WVT458801 L524337 JH524337 TD524337 ACZ524337 AMV524337 AWR524337 BGN524337 BQJ524337 CAF524337 CKB524337 CTX524337 DDT524337 DNP524337 DXL524337 EHH524337 ERD524337 FAZ524337 FKV524337 FUR524337 GEN524337 GOJ524337 GYF524337 HIB524337 HRX524337 IBT524337 ILP524337 IVL524337 JFH524337 JPD524337 JYZ524337 KIV524337 KSR524337 LCN524337 LMJ524337 LWF524337 MGB524337 MPX524337 MZT524337 NJP524337 NTL524337 ODH524337 OND524337 OWZ524337 PGV524337 PQR524337 QAN524337 QKJ524337 QUF524337 REB524337 RNX524337 RXT524337 SHP524337 SRL524337 TBH524337 TLD524337 TUZ524337 UEV524337 UOR524337 UYN524337 VIJ524337 VSF524337 WCB524337 WLX524337 WVT524337 L589873 JH589873 TD589873 ACZ589873 AMV589873 AWR589873 BGN589873 BQJ589873 CAF589873 CKB589873 CTX589873 DDT589873 DNP589873 DXL589873 EHH589873 ERD589873 FAZ589873 FKV589873 FUR589873 GEN589873 GOJ589873 GYF589873 HIB589873 HRX589873 IBT589873 ILP589873 IVL589873 JFH589873 JPD589873 JYZ589873 KIV589873 KSR589873 LCN589873 LMJ589873 LWF589873 MGB589873 MPX589873 MZT589873 NJP589873 NTL589873 ODH589873 OND589873 OWZ589873 PGV589873 PQR589873 QAN589873 QKJ589873 QUF589873 REB589873 RNX589873 RXT589873 SHP589873 SRL589873 TBH589873 TLD589873 TUZ589873 UEV589873 UOR589873 UYN589873 VIJ589873 VSF589873 WCB589873 WLX589873 WVT589873 L655409 JH655409 TD655409 ACZ655409 AMV655409 AWR655409 BGN655409 BQJ655409 CAF655409 CKB655409 CTX655409 DDT655409 DNP655409 DXL655409 EHH655409 ERD655409 FAZ655409 FKV655409 FUR655409 GEN655409 GOJ655409 GYF655409 HIB655409 HRX655409 IBT655409 ILP655409 IVL655409 JFH655409 JPD655409 JYZ655409 KIV655409 KSR655409 LCN655409 LMJ655409 LWF655409 MGB655409 MPX655409 MZT655409 NJP655409 NTL655409 ODH655409 OND655409 OWZ655409 PGV655409 PQR655409 QAN655409 QKJ655409 QUF655409 REB655409 RNX655409 RXT655409 SHP655409 SRL655409 TBH655409 TLD655409 TUZ655409 UEV655409 UOR655409 UYN655409 VIJ655409 VSF655409 WCB655409 WLX655409 WVT655409 L720945 JH720945 TD720945 ACZ720945 AMV720945 AWR720945 BGN720945 BQJ720945 CAF720945 CKB720945 CTX720945 DDT720945 DNP720945 DXL720945 EHH720945 ERD720945 FAZ720945 FKV720945 FUR720945 GEN720945 GOJ720945 GYF720945 HIB720945 HRX720945 IBT720945 ILP720945 IVL720945 JFH720945 JPD720945 JYZ720945 KIV720945 KSR720945 LCN720945 LMJ720945 LWF720945 MGB720945 MPX720945 MZT720945 NJP720945 NTL720945 ODH720945 OND720945 OWZ720945 PGV720945 PQR720945 QAN720945 QKJ720945 QUF720945 REB720945 RNX720945 RXT720945 SHP720945 SRL720945 TBH720945 TLD720945 TUZ720945 UEV720945 UOR720945 UYN720945 VIJ720945 VSF720945 WCB720945 WLX720945 WVT720945 L786481 JH786481 TD786481 ACZ786481 AMV786481 AWR786481 BGN786481 BQJ786481 CAF786481 CKB786481 CTX786481 DDT786481 DNP786481 DXL786481 EHH786481 ERD786481 FAZ786481 FKV786481 FUR786481 GEN786481 GOJ786481 GYF786481 HIB786481 HRX786481 IBT786481 ILP786481 IVL786481 JFH786481 JPD786481 JYZ786481 KIV786481 KSR786481 LCN786481 LMJ786481 LWF786481 MGB786481 MPX786481 MZT786481 NJP786481 NTL786481 ODH786481 OND786481 OWZ786481 PGV786481 PQR786481 QAN786481 QKJ786481 QUF786481 REB786481 RNX786481 RXT786481 SHP786481 SRL786481 TBH786481 TLD786481 TUZ786481 UEV786481 UOR786481 UYN786481 VIJ786481 VSF786481 WCB786481 WLX786481 WVT786481 L852017 JH852017 TD852017 ACZ852017 AMV852017 AWR852017 BGN852017 BQJ852017 CAF852017 CKB852017 CTX852017 DDT852017 DNP852017 DXL852017 EHH852017 ERD852017 FAZ852017 FKV852017 FUR852017 GEN852017 GOJ852017 GYF852017 HIB852017 HRX852017 IBT852017 ILP852017 IVL852017 JFH852017 JPD852017 JYZ852017 KIV852017 KSR852017 LCN852017 LMJ852017 LWF852017 MGB852017 MPX852017 MZT852017 NJP852017 NTL852017 ODH852017 OND852017 OWZ852017 PGV852017 PQR852017 QAN852017 QKJ852017 QUF852017 REB852017 RNX852017 RXT852017 SHP852017 SRL852017 TBH852017 TLD852017 TUZ852017 UEV852017 UOR852017 UYN852017 VIJ852017 VSF852017 WCB852017 WLX852017 WVT852017 L917553 JH917553 TD917553 ACZ917553 AMV917553 AWR917553 BGN917553 BQJ917553 CAF917553 CKB917553 CTX917553 DDT917553 DNP917553 DXL917553 EHH917553 ERD917553 FAZ917553 FKV917553 FUR917553 GEN917553 GOJ917553 GYF917553 HIB917553 HRX917553 IBT917553 ILP917553 IVL917553 JFH917553 JPD917553 JYZ917553 KIV917553 KSR917553 LCN917553 LMJ917553 LWF917553 MGB917553 MPX917553 MZT917553 NJP917553 NTL917553 ODH917553 OND917553 OWZ917553 PGV917553 PQR917553 QAN917553 QKJ917553 QUF917553 REB917553 RNX917553 RXT917553 SHP917553 SRL917553 TBH917553 TLD917553 TUZ917553 UEV917553 UOR917553 UYN917553 VIJ917553 VSF917553 WCB917553 WLX917553 WVT917553 L983089 JH983089 TD983089 ACZ983089 AMV983089 AWR983089 BGN983089 BQJ983089 CAF983089 CKB983089 CTX983089 DDT983089 DNP983089 DXL983089 EHH983089 ERD983089 FAZ983089 FKV983089 FUR983089 GEN983089 GOJ983089 GYF983089 HIB983089 HRX983089 IBT983089 ILP983089 IVL983089 JFH983089 JPD983089 JYZ983089 KIV983089 KSR983089 LCN983089 LMJ983089 LWF983089 MGB983089 MPX983089 MZT983089 NJP983089 NTL983089 ODH983089 OND983089 OWZ983089 PGV983089 PQR983089 QAN983089 QKJ983089 QUF983089 REB983089 RNX983089 RXT983089 SHP983089 SRL983089 TBH983089 TLD983089 TUZ983089 UEV983089 UOR983089 UYN983089 VIJ983089 VSF983089 WCB983089 WLX983089 WVT983089" xr:uid="{BAB5037A-2106-4132-A206-359E19D50A95}">
      <formula1>0</formula1>
      <formula2>0.05</formula2>
    </dataValidation>
    <dataValidation type="decimal" allowBlank="1" showErrorMessage="1" error="U kunt maximaal een percentage van 3,0% invullen. Klik op &quot;Annuleren&quot; en vul een ander percentage in. " prompt="U kunt maximaal een percentage van 3,0% invullen. Klik op &quot;Annuleren&quot; en vul een ander percentage in. " sqref="L49 JH49 TD49 ACZ49 AMV49 AWR49 BGN49 BQJ49 CAF49 CKB49 CTX49 DDT49 DNP49 DXL49 EHH49 ERD49 FAZ49 FKV49 FUR49 GEN49 GOJ49 GYF49 HIB49 HRX49 IBT49 ILP49 IVL49 JFH49 JPD49 JYZ49 KIV49 KSR49 LCN49 LMJ49 LWF49 MGB49 MPX49 MZT49 NJP49 NTL49 ODH49 OND49 OWZ49 PGV49 PQR49 QAN49 QKJ49 QUF49 REB49 RNX49 RXT49 SHP49 SRL49 TBH49 TLD49 TUZ49 UEV49 UOR49 UYN49 VIJ49 VSF49 WCB49 WLX49 WVT49 L65582 JH65582 TD65582 ACZ65582 AMV65582 AWR65582 BGN65582 BQJ65582 CAF65582 CKB65582 CTX65582 DDT65582 DNP65582 DXL65582 EHH65582 ERD65582 FAZ65582 FKV65582 FUR65582 GEN65582 GOJ65582 GYF65582 HIB65582 HRX65582 IBT65582 ILP65582 IVL65582 JFH65582 JPD65582 JYZ65582 KIV65582 KSR65582 LCN65582 LMJ65582 LWF65582 MGB65582 MPX65582 MZT65582 NJP65582 NTL65582 ODH65582 OND65582 OWZ65582 PGV65582 PQR65582 QAN65582 QKJ65582 QUF65582 REB65582 RNX65582 RXT65582 SHP65582 SRL65582 TBH65582 TLD65582 TUZ65582 UEV65582 UOR65582 UYN65582 VIJ65582 VSF65582 WCB65582 WLX65582 WVT65582 L131118 JH131118 TD131118 ACZ131118 AMV131118 AWR131118 BGN131118 BQJ131118 CAF131118 CKB131118 CTX131118 DDT131118 DNP131118 DXL131118 EHH131118 ERD131118 FAZ131118 FKV131118 FUR131118 GEN131118 GOJ131118 GYF131118 HIB131118 HRX131118 IBT131118 ILP131118 IVL131118 JFH131118 JPD131118 JYZ131118 KIV131118 KSR131118 LCN131118 LMJ131118 LWF131118 MGB131118 MPX131118 MZT131118 NJP131118 NTL131118 ODH131118 OND131118 OWZ131118 PGV131118 PQR131118 QAN131118 QKJ131118 QUF131118 REB131118 RNX131118 RXT131118 SHP131118 SRL131118 TBH131118 TLD131118 TUZ131118 UEV131118 UOR131118 UYN131118 VIJ131118 VSF131118 WCB131118 WLX131118 WVT131118 L196654 JH196654 TD196654 ACZ196654 AMV196654 AWR196654 BGN196654 BQJ196654 CAF196654 CKB196654 CTX196654 DDT196654 DNP196654 DXL196654 EHH196654 ERD196654 FAZ196654 FKV196654 FUR196654 GEN196654 GOJ196654 GYF196654 HIB196654 HRX196654 IBT196654 ILP196654 IVL196654 JFH196654 JPD196654 JYZ196654 KIV196654 KSR196654 LCN196654 LMJ196654 LWF196654 MGB196654 MPX196654 MZT196654 NJP196654 NTL196654 ODH196654 OND196654 OWZ196654 PGV196654 PQR196654 QAN196654 QKJ196654 QUF196654 REB196654 RNX196654 RXT196654 SHP196654 SRL196654 TBH196654 TLD196654 TUZ196654 UEV196654 UOR196654 UYN196654 VIJ196654 VSF196654 WCB196654 WLX196654 WVT196654 L262190 JH262190 TD262190 ACZ262190 AMV262190 AWR262190 BGN262190 BQJ262190 CAF262190 CKB262190 CTX262190 DDT262190 DNP262190 DXL262190 EHH262190 ERD262190 FAZ262190 FKV262190 FUR262190 GEN262190 GOJ262190 GYF262190 HIB262190 HRX262190 IBT262190 ILP262190 IVL262190 JFH262190 JPD262190 JYZ262190 KIV262190 KSR262190 LCN262190 LMJ262190 LWF262190 MGB262190 MPX262190 MZT262190 NJP262190 NTL262190 ODH262190 OND262190 OWZ262190 PGV262190 PQR262190 QAN262190 QKJ262190 QUF262190 REB262190 RNX262190 RXT262190 SHP262190 SRL262190 TBH262190 TLD262190 TUZ262190 UEV262190 UOR262190 UYN262190 VIJ262190 VSF262190 WCB262190 WLX262190 WVT262190 L327726 JH327726 TD327726 ACZ327726 AMV327726 AWR327726 BGN327726 BQJ327726 CAF327726 CKB327726 CTX327726 DDT327726 DNP327726 DXL327726 EHH327726 ERD327726 FAZ327726 FKV327726 FUR327726 GEN327726 GOJ327726 GYF327726 HIB327726 HRX327726 IBT327726 ILP327726 IVL327726 JFH327726 JPD327726 JYZ327726 KIV327726 KSR327726 LCN327726 LMJ327726 LWF327726 MGB327726 MPX327726 MZT327726 NJP327726 NTL327726 ODH327726 OND327726 OWZ327726 PGV327726 PQR327726 QAN327726 QKJ327726 QUF327726 REB327726 RNX327726 RXT327726 SHP327726 SRL327726 TBH327726 TLD327726 TUZ327726 UEV327726 UOR327726 UYN327726 VIJ327726 VSF327726 WCB327726 WLX327726 WVT327726 L393262 JH393262 TD393262 ACZ393262 AMV393262 AWR393262 BGN393262 BQJ393262 CAF393262 CKB393262 CTX393262 DDT393262 DNP393262 DXL393262 EHH393262 ERD393262 FAZ393262 FKV393262 FUR393262 GEN393262 GOJ393262 GYF393262 HIB393262 HRX393262 IBT393262 ILP393262 IVL393262 JFH393262 JPD393262 JYZ393262 KIV393262 KSR393262 LCN393262 LMJ393262 LWF393262 MGB393262 MPX393262 MZT393262 NJP393262 NTL393262 ODH393262 OND393262 OWZ393262 PGV393262 PQR393262 QAN393262 QKJ393262 QUF393262 REB393262 RNX393262 RXT393262 SHP393262 SRL393262 TBH393262 TLD393262 TUZ393262 UEV393262 UOR393262 UYN393262 VIJ393262 VSF393262 WCB393262 WLX393262 WVT393262 L458798 JH458798 TD458798 ACZ458798 AMV458798 AWR458798 BGN458798 BQJ458798 CAF458798 CKB458798 CTX458798 DDT458798 DNP458798 DXL458798 EHH458798 ERD458798 FAZ458798 FKV458798 FUR458798 GEN458798 GOJ458798 GYF458798 HIB458798 HRX458798 IBT458798 ILP458798 IVL458798 JFH458798 JPD458798 JYZ458798 KIV458798 KSR458798 LCN458798 LMJ458798 LWF458798 MGB458798 MPX458798 MZT458798 NJP458798 NTL458798 ODH458798 OND458798 OWZ458798 PGV458798 PQR458798 QAN458798 QKJ458798 QUF458798 REB458798 RNX458798 RXT458798 SHP458798 SRL458798 TBH458798 TLD458798 TUZ458798 UEV458798 UOR458798 UYN458798 VIJ458798 VSF458798 WCB458798 WLX458798 WVT458798 L524334 JH524334 TD524334 ACZ524334 AMV524334 AWR524334 BGN524334 BQJ524334 CAF524334 CKB524334 CTX524334 DDT524334 DNP524334 DXL524334 EHH524334 ERD524334 FAZ524334 FKV524334 FUR524334 GEN524334 GOJ524334 GYF524334 HIB524334 HRX524334 IBT524334 ILP524334 IVL524334 JFH524334 JPD524334 JYZ524334 KIV524334 KSR524334 LCN524334 LMJ524334 LWF524334 MGB524334 MPX524334 MZT524334 NJP524334 NTL524334 ODH524334 OND524334 OWZ524334 PGV524334 PQR524334 QAN524334 QKJ524334 QUF524334 REB524334 RNX524334 RXT524334 SHP524334 SRL524334 TBH524334 TLD524334 TUZ524334 UEV524334 UOR524334 UYN524334 VIJ524334 VSF524334 WCB524334 WLX524334 WVT524334 L589870 JH589870 TD589870 ACZ589870 AMV589870 AWR589870 BGN589870 BQJ589870 CAF589870 CKB589870 CTX589870 DDT589870 DNP589870 DXL589870 EHH589870 ERD589870 FAZ589870 FKV589870 FUR589870 GEN589870 GOJ589870 GYF589870 HIB589870 HRX589870 IBT589870 ILP589870 IVL589870 JFH589870 JPD589870 JYZ589870 KIV589870 KSR589870 LCN589870 LMJ589870 LWF589870 MGB589870 MPX589870 MZT589870 NJP589870 NTL589870 ODH589870 OND589870 OWZ589870 PGV589870 PQR589870 QAN589870 QKJ589870 QUF589870 REB589870 RNX589870 RXT589870 SHP589870 SRL589870 TBH589870 TLD589870 TUZ589870 UEV589870 UOR589870 UYN589870 VIJ589870 VSF589870 WCB589870 WLX589870 WVT589870 L655406 JH655406 TD655406 ACZ655406 AMV655406 AWR655406 BGN655406 BQJ655406 CAF655406 CKB655406 CTX655406 DDT655406 DNP655406 DXL655406 EHH655406 ERD655406 FAZ655406 FKV655406 FUR655406 GEN655406 GOJ655406 GYF655406 HIB655406 HRX655406 IBT655406 ILP655406 IVL655406 JFH655406 JPD655406 JYZ655406 KIV655406 KSR655406 LCN655406 LMJ655406 LWF655406 MGB655406 MPX655406 MZT655406 NJP655406 NTL655406 ODH655406 OND655406 OWZ655406 PGV655406 PQR655406 QAN655406 QKJ655406 QUF655406 REB655406 RNX655406 RXT655406 SHP655406 SRL655406 TBH655406 TLD655406 TUZ655406 UEV655406 UOR655406 UYN655406 VIJ655406 VSF655406 WCB655406 WLX655406 WVT655406 L720942 JH720942 TD720942 ACZ720942 AMV720942 AWR720942 BGN720942 BQJ720942 CAF720942 CKB720942 CTX720942 DDT720942 DNP720942 DXL720942 EHH720942 ERD720942 FAZ720942 FKV720942 FUR720942 GEN720942 GOJ720942 GYF720942 HIB720942 HRX720942 IBT720942 ILP720942 IVL720942 JFH720942 JPD720942 JYZ720942 KIV720942 KSR720942 LCN720942 LMJ720942 LWF720942 MGB720942 MPX720942 MZT720942 NJP720942 NTL720942 ODH720942 OND720942 OWZ720942 PGV720942 PQR720942 QAN720942 QKJ720942 QUF720942 REB720942 RNX720942 RXT720942 SHP720942 SRL720942 TBH720942 TLD720942 TUZ720942 UEV720942 UOR720942 UYN720942 VIJ720942 VSF720942 WCB720942 WLX720942 WVT720942 L786478 JH786478 TD786478 ACZ786478 AMV786478 AWR786478 BGN786478 BQJ786478 CAF786478 CKB786478 CTX786478 DDT786478 DNP786478 DXL786478 EHH786478 ERD786478 FAZ786478 FKV786478 FUR786478 GEN786478 GOJ786478 GYF786478 HIB786478 HRX786478 IBT786478 ILP786478 IVL786478 JFH786478 JPD786478 JYZ786478 KIV786478 KSR786478 LCN786478 LMJ786478 LWF786478 MGB786478 MPX786478 MZT786478 NJP786478 NTL786478 ODH786478 OND786478 OWZ786478 PGV786478 PQR786478 QAN786478 QKJ786478 QUF786478 REB786478 RNX786478 RXT786478 SHP786478 SRL786478 TBH786478 TLD786478 TUZ786478 UEV786478 UOR786478 UYN786478 VIJ786478 VSF786478 WCB786478 WLX786478 WVT786478 L852014 JH852014 TD852014 ACZ852014 AMV852014 AWR852014 BGN852014 BQJ852014 CAF852014 CKB852014 CTX852014 DDT852014 DNP852014 DXL852014 EHH852014 ERD852014 FAZ852014 FKV852014 FUR852014 GEN852014 GOJ852014 GYF852014 HIB852014 HRX852014 IBT852014 ILP852014 IVL852014 JFH852014 JPD852014 JYZ852014 KIV852014 KSR852014 LCN852014 LMJ852014 LWF852014 MGB852014 MPX852014 MZT852014 NJP852014 NTL852014 ODH852014 OND852014 OWZ852014 PGV852014 PQR852014 QAN852014 QKJ852014 QUF852014 REB852014 RNX852014 RXT852014 SHP852014 SRL852014 TBH852014 TLD852014 TUZ852014 UEV852014 UOR852014 UYN852014 VIJ852014 VSF852014 WCB852014 WLX852014 WVT852014 L917550 JH917550 TD917550 ACZ917550 AMV917550 AWR917550 BGN917550 BQJ917550 CAF917550 CKB917550 CTX917550 DDT917550 DNP917550 DXL917550 EHH917550 ERD917550 FAZ917550 FKV917550 FUR917550 GEN917550 GOJ917550 GYF917550 HIB917550 HRX917550 IBT917550 ILP917550 IVL917550 JFH917550 JPD917550 JYZ917550 KIV917550 KSR917550 LCN917550 LMJ917550 LWF917550 MGB917550 MPX917550 MZT917550 NJP917550 NTL917550 ODH917550 OND917550 OWZ917550 PGV917550 PQR917550 QAN917550 QKJ917550 QUF917550 REB917550 RNX917550 RXT917550 SHP917550 SRL917550 TBH917550 TLD917550 TUZ917550 UEV917550 UOR917550 UYN917550 VIJ917550 VSF917550 WCB917550 WLX917550 WVT917550 L983086 JH983086 TD983086 ACZ983086 AMV983086 AWR983086 BGN983086 BQJ983086 CAF983086 CKB983086 CTX983086 DDT983086 DNP983086 DXL983086 EHH983086 ERD983086 FAZ983086 FKV983086 FUR983086 GEN983086 GOJ983086 GYF983086 HIB983086 HRX983086 IBT983086 ILP983086 IVL983086 JFH983086 JPD983086 JYZ983086 KIV983086 KSR983086 LCN983086 LMJ983086 LWF983086 MGB983086 MPX983086 MZT983086 NJP983086 NTL983086 ODH983086 OND983086 OWZ983086 PGV983086 PQR983086 QAN983086 QKJ983086 QUF983086 REB983086 RNX983086 RXT983086 SHP983086 SRL983086 TBH983086 TLD983086 TUZ983086 UEV983086 UOR983086 UYN983086 VIJ983086 VSF983086 WCB983086 WLX983086 WVT983086" xr:uid="{A90A478C-69A9-4069-9A88-E9868C1ADCBA}">
      <formula1>0</formula1>
      <formula2>0.05</formula2>
    </dataValidation>
    <dataValidation type="decimal" allowBlank="1" showErrorMessage="1" error="U kunt maximaal een percentage van 3,0% invullen. Klik op &quot;Annuleren&quot; en vul een ander percentage in. " prompt="U kunt maximaal een percentage van 3,0% invullen. Klik op &quot;Annuleren&quot; en vul een ander percentage in. " sqref="WVT983079:WVT983081 L65575:L65577 JH65575:JH65577 TD65575:TD65577 ACZ65575:ACZ65577 AMV65575:AMV65577 AWR65575:AWR65577 BGN65575:BGN65577 BQJ65575:BQJ65577 CAF65575:CAF65577 CKB65575:CKB65577 CTX65575:CTX65577 DDT65575:DDT65577 DNP65575:DNP65577 DXL65575:DXL65577 EHH65575:EHH65577 ERD65575:ERD65577 FAZ65575:FAZ65577 FKV65575:FKV65577 FUR65575:FUR65577 GEN65575:GEN65577 GOJ65575:GOJ65577 GYF65575:GYF65577 HIB65575:HIB65577 HRX65575:HRX65577 IBT65575:IBT65577 ILP65575:ILP65577 IVL65575:IVL65577 JFH65575:JFH65577 JPD65575:JPD65577 JYZ65575:JYZ65577 KIV65575:KIV65577 KSR65575:KSR65577 LCN65575:LCN65577 LMJ65575:LMJ65577 LWF65575:LWF65577 MGB65575:MGB65577 MPX65575:MPX65577 MZT65575:MZT65577 NJP65575:NJP65577 NTL65575:NTL65577 ODH65575:ODH65577 OND65575:OND65577 OWZ65575:OWZ65577 PGV65575:PGV65577 PQR65575:PQR65577 QAN65575:QAN65577 QKJ65575:QKJ65577 QUF65575:QUF65577 REB65575:REB65577 RNX65575:RNX65577 RXT65575:RXT65577 SHP65575:SHP65577 SRL65575:SRL65577 TBH65575:TBH65577 TLD65575:TLD65577 TUZ65575:TUZ65577 UEV65575:UEV65577 UOR65575:UOR65577 UYN65575:UYN65577 VIJ65575:VIJ65577 VSF65575:VSF65577 WCB65575:WCB65577 WLX65575:WLX65577 WVT65575:WVT65577 L131111:L131113 JH131111:JH131113 TD131111:TD131113 ACZ131111:ACZ131113 AMV131111:AMV131113 AWR131111:AWR131113 BGN131111:BGN131113 BQJ131111:BQJ131113 CAF131111:CAF131113 CKB131111:CKB131113 CTX131111:CTX131113 DDT131111:DDT131113 DNP131111:DNP131113 DXL131111:DXL131113 EHH131111:EHH131113 ERD131111:ERD131113 FAZ131111:FAZ131113 FKV131111:FKV131113 FUR131111:FUR131113 GEN131111:GEN131113 GOJ131111:GOJ131113 GYF131111:GYF131113 HIB131111:HIB131113 HRX131111:HRX131113 IBT131111:IBT131113 ILP131111:ILP131113 IVL131111:IVL131113 JFH131111:JFH131113 JPD131111:JPD131113 JYZ131111:JYZ131113 KIV131111:KIV131113 KSR131111:KSR131113 LCN131111:LCN131113 LMJ131111:LMJ131113 LWF131111:LWF131113 MGB131111:MGB131113 MPX131111:MPX131113 MZT131111:MZT131113 NJP131111:NJP131113 NTL131111:NTL131113 ODH131111:ODH131113 OND131111:OND131113 OWZ131111:OWZ131113 PGV131111:PGV131113 PQR131111:PQR131113 QAN131111:QAN131113 QKJ131111:QKJ131113 QUF131111:QUF131113 REB131111:REB131113 RNX131111:RNX131113 RXT131111:RXT131113 SHP131111:SHP131113 SRL131111:SRL131113 TBH131111:TBH131113 TLD131111:TLD131113 TUZ131111:TUZ131113 UEV131111:UEV131113 UOR131111:UOR131113 UYN131111:UYN131113 VIJ131111:VIJ131113 VSF131111:VSF131113 WCB131111:WCB131113 WLX131111:WLX131113 WVT131111:WVT131113 L196647:L196649 JH196647:JH196649 TD196647:TD196649 ACZ196647:ACZ196649 AMV196647:AMV196649 AWR196647:AWR196649 BGN196647:BGN196649 BQJ196647:BQJ196649 CAF196647:CAF196649 CKB196647:CKB196649 CTX196647:CTX196649 DDT196647:DDT196649 DNP196647:DNP196649 DXL196647:DXL196649 EHH196647:EHH196649 ERD196647:ERD196649 FAZ196647:FAZ196649 FKV196647:FKV196649 FUR196647:FUR196649 GEN196647:GEN196649 GOJ196647:GOJ196649 GYF196647:GYF196649 HIB196647:HIB196649 HRX196647:HRX196649 IBT196647:IBT196649 ILP196647:ILP196649 IVL196647:IVL196649 JFH196647:JFH196649 JPD196647:JPD196649 JYZ196647:JYZ196649 KIV196647:KIV196649 KSR196647:KSR196649 LCN196647:LCN196649 LMJ196647:LMJ196649 LWF196647:LWF196649 MGB196647:MGB196649 MPX196647:MPX196649 MZT196647:MZT196649 NJP196647:NJP196649 NTL196647:NTL196649 ODH196647:ODH196649 OND196647:OND196649 OWZ196647:OWZ196649 PGV196647:PGV196649 PQR196647:PQR196649 QAN196647:QAN196649 QKJ196647:QKJ196649 QUF196647:QUF196649 REB196647:REB196649 RNX196647:RNX196649 RXT196647:RXT196649 SHP196647:SHP196649 SRL196647:SRL196649 TBH196647:TBH196649 TLD196647:TLD196649 TUZ196647:TUZ196649 UEV196647:UEV196649 UOR196647:UOR196649 UYN196647:UYN196649 VIJ196647:VIJ196649 VSF196647:VSF196649 WCB196647:WCB196649 WLX196647:WLX196649 WVT196647:WVT196649 L262183:L262185 JH262183:JH262185 TD262183:TD262185 ACZ262183:ACZ262185 AMV262183:AMV262185 AWR262183:AWR262185 BGN262183:BGN262185 BQJ262183:BQJ262185 CAF262183:CAF262185 CKB262183:CKB262185 CTX262183:CTX262185 DDT262183:DDT262185 DNP262183:DNP262185 DXL262183:DXL262185 EHH262183:EHH262185 ERD262183:ERD262185 FAZ262183:FAZ262185 FKV262183:FKV262185 FUR262183:FUR262185 GEN262183:GEN262185 GOJ262183:GOJ262185 GYF262183:GYF262185 HIB262183:HIB262185 HRX262183:HRX262185 IBT262183:IBT262185 ILP262183:ILP262185 IVL262183:IVL262185 JFH262183:JFH262185 JPD262183:JPD262185 JYZ262183:JYZ262185 KIV262183:KIV262185 KSR262183:KSR262185 LCN262183:LCN262185 LMJ262183:LMJ262185 LWF262183:LWF262185 MGB262183:MGB262185 MPX262183:MPX262185 MZT262183:MZT262185 NJP262183:NJP262185 NTL262183:NTL262185 ODH262183:ODH262185 OND262183:OND262185 OWZ262183:OWZ262185 PGV262183:PGV262185 PQR262183:PQR262185 QAN262183:QAN262185 QKJ262183:QKJ262185 QUF262183:QUF262185 REB262183:REB262185 RNX262183:RNX262185 RXT262183:RXT262185 SHP262183:SHP262185 SRL262183:SRL262185 TBH262183:TBH262185 TLD262183:TLD262185 TUZ262183:TUZ262185 UEV262183:UEV262185 UOR262183:UOR262185 UYN262183:UYN262185 VIJ262183:VIJ262185 VSF262183:VSF262185 WCB262183:WCB262185 WLX262183:WLX262185 WVT262183:WVT262185 L327719:L327721 JH327719:JH327721 TD327719:TD327721 ACZ327719:ACZ327721 AMV327719:AMV327721 AWR327719:AWR327721 BGN327719:BGN327721 BQJ327719:BQJ327721 CAF327719:CAF327721 CKB327719:CKB327721 CTX327719:CTX327721 DDT327719:DDT327721 DNP327719:DNP327721 DXL327719:DXL327721 EHH327719:EHH327721 ERD327719:ERD327721 FAZ327719:FAZ327721 FKV327719:FKV327721 FUR327719:FUR327721 GEN327719:GEN327721 GOJ327719:GOJ327721 GYF327719:GYF327721 HIB327719:HIB327721 HRX327719:HRX327721 IBT327719:IBT327721 ILP327719:ILP327721 IVL327719:IVL327721 JFH327719:JFH327721 JPD327719:JPD327721 JYZ327719:JYZ327721 KIV327719:KIV327721 KSR327719:KSR327721 LCN327719:LCN327721 LMJ327719:LMJ327721 LWF327719:LWF327721 MGB327719:MGB327721 MPX327719:MPX327721 MZT327719:MZT327721 NJP327719:NJP327721 NTL327719:NTL327721 ODH327719:ODH327721 OND327719:OND327721 OWZ327719:OWZ327721 PGV327719:PGV327721 PQR327719:PQR327721 QAN327719:QAN327721 QKJ327719:QKJ327721 QUF327719:QUF327721 REB327719:REB327721 RNX327719:RNX327721 RXT327719:RXT327721 SHP327719:SHP327721 SRL327719:SRL327721 TBH327719:TBH327721 TLD327719:TLD327721 TUZ327719:TUZ327721 UEV327719:UEV327721 UOR327719:UOR327721 UYN327719:UYN327721 VIJ327719:VIJ327721 VSF327719:VSF327721 WCB327719:WCB327721 WLX327719:WLX327721 WVT327719:WVT327721 L393255:L393257 JH393255:JH393257 TD393255:TD393257 ACZ393255:ACZ393257 AMV393255:AMV393257 AWR393255:AWR393257 BGN393255:BGN393257 BQJ393255:BQJ393257 CAF393255:CAF393257 CKB393255:CKB393257 CTX393255:CTX393257 DDT393255:DDT393257 DNP393255:DNP393257 DXL393255:DXL393257 EHH393255:EHH393257 ERD393255:ERD393257 FAZ393255:FAZ393257 FKV393255:FKV393257 FUR393255:FUR393257 GEN393255:GEN393257 GOJ393255:GOJ393257 GYF393255:GYF393257 HIB393255:HIB393257 HRX393255:HRX393257 IBT393255:IBT393257 ILP393255:ILP393257 IVL393255:IVL393257 JFH393255:JFH393257 JPD393255:JPD393257 JYZ393255:JYZ393257 KIV393255:KIV393257 KSR393255:KSR393257 LCN393255:LCN393257 LMJ393255:LMJ393257 LWF393255:LWF393257 MGB393255:MGB393257 MPX393255:MPX393257 MZT393255:MZT393257 NJP393255:NJP393257 NTL393255:NTL393257 ODH393255:ODH393257 OND393255:OND393257 OWZ393255:OWZ393257 PGV393255:PGV393257 PQR393255:PQR393257 QAN393255:QAN393257 QKJ393255:QKJ393257 QUF393255:QUF393257 REB393255:REB393257 RNX393255:RNX393257 RXT393255:RXT393257 SHP393255:SHP393257 SRL393255:SRL393257 TBH393255:TBH393257 TLD393255:TLD393257 TUZ393255:TUZ393257 UEV393255:UEV393257 UOR393255:UOR393257 UYN393255:UYN393257 VIJ393255:VIJ393257 VSF393255:VSF393257 WCB393255:WCB393257 WLX393255:WLX393257 WVT393255:WVT393257 L458791:L458793 JH458791:JH458793 TD458791:TD458793 ACZ458791:ACZ458793 AMV458791:AMV458793 AWR458791:AWR458793 BGN458791:BGN458793 BQJ458791:BQJ458793 CAF458791:CAF458793 CKB458791:CKB458793 CTX458791:CTX458793 DDT458791:DDT458793 DNP458791:DNP458793 DXL458791:DXL458793 EHH458791:EHH458793 ERD458791:ERD458793 FAZ458791:FAZ458793 FKV458791:FKV458793 FUR458791:FUR458793 GEN458791:GEN458793 GOJ458791:GOJ458793 GYF458791:GYF458793 HIB458791:HIB458793 HRX458791:HRX458793 IBT458791:IBT458793 ILP458791:ILP458793 IVL458791:IVL458793 JFH458791:JFH458793 JPD458791:JPD458793 JYZ458791:JYZ458793 KIV458791:KIV458793 KSR458791:KSR458793 LCN458791:LCN458793 LMJ458791:LMJ458793 LWF458791:LWF458793 MGB458791:MGB458793 MPX458791:MPX458793 MZT458791:MZT458793 NJP458791:NJP458793 NTL458791:NTL458793 ODH458791:ODH458793 OND458791:OND458793 OWZ458791:OWZ458793 PGV458791:PGV458793 PQR458791:PQR458793 QAN458791:QAN458793 QKJ458791:QKJ458793 QUF458791:QUF458793 REB458791:REB458793 RNX458791:RNX458793 RXT458791:RXT458793 SHP458791:SHP458793 SRL458791:SRL458793 TBH458791:TBH458793 TLD458791:TLD458793 TUZ458791:TUZ458793 UEV458791:UEV458793 UOR458791:UOR458793 UYN458791:UYN458793 VIJ458791:VIJ458793 VSF458791:VSF458793 WCB458791:WCB458793 WLX458791:WLX458793 WVT458791:WVT458793 L524327:L524329 JH524327:JH524329 TD524327:TD524329 ACZ524327:ACZ524329 AMV524327:AMV524329 AWR524327:AWR524329 BGN524327:BGN524329 BQJ524327:BQJ524329 CAF524327:CAF524329 CKB524327:CKB524329 CTX524327:CTX524329 DDT524327:DDT524329 DNP524327:DNP524329 DXL524327:DXL524329 EHH524327:EHH524329 ERD524327:ERD524329 FAZ524327:FAZ524329 FKV524327:FKV524329 FUR524327:FUR524329 GEN524327:GEN524329 GOJ524327:GOJ524329 GYF524327:GYF524329 HIB524327:HIB524329 HRX524327:HRX524329 IBT524327:IBT524329 ILP524327:ILP524329 IVL524327:IVL524329 JFH524327:JFH524329 JPD524327:JPD524329 JYZ524327:JYZ524329 KIV524327:KIV524329 KSR524327:KSR524329 LCN524327:LCN524329 LMJ524327:LMJ524329 LWF524327:LWF524329 MGB524327:MGB524329 MPX524327:MPX524329 MZT524327:MZT524329 NJP524327:NJP524329 NTL524327:NTL524329 ODH524327:ODH524329 OND524327:OND524329 OWZ524327:OWZ524329 PGV524327:PGV524329 PQR524327:PQR524329 QAN524327:QAN524329 QKJ524327:QKJ524329 QUF524327:QUF524329 REB524327:REB524329 RNX524327:RNX524329 RXT524327:RXT524329 SHP524327:SHP524329 SRL524327:SRL524329 TBH524327:TBH524329 TLD524327:TLD524329 TUZ524327:TUZ524329 UEV524327:UEV524329 UOR524327:UOR524329 UYN524327:UYN524329 VIJ524327:VIJ524329 VSF524327:VSF524329 WCB524327:WCB524329 WLX524327:WLX524329 WVT524327:WVT524329 L589863:L589865 JH589863:JH589865 TD589863:TD589865 ACZ589863:ACZ589865 AMV589863:AMV589865 AWR589863:AWR589865 BGN589863:BGN589865 BQJ589863:BQJ589865 CAF589863:CAF589865 CKB589863:CKB589865 CTX589863:CTX589865 DDT589863:DDT589865 DNP589863:DNP589865 DXL589863:DXL589865 EHH589863:EHH589865 ERD589863:ERD589865 FAZ589863:FAZ589865 FKV589863:FKV589865 FUR589863:FUR589865 GEN589863:GEN589865 GOJ589863:GOJ589865 GYF589863:GYF589865 HIB589863:HIB589865 HRX589863:HRX589865 IBT589863:IBT589865 ILP589863:ILP589865 IVL589863:IVL589865 JFH589863:JFH589865 JPD589863:JPD589865 JYZ589863:JYZ589865 KIV589863:KIV589865 KSR589863:KSR589865 LCN589863:LCN589865 LMJ589863:LMJ589865 LWF589863:LWF589865 MGB589863:MGB589865 MPX589863:MPX589865 MZT589863:MZT589865 NJP589863:NJP589865 NTL589863:NTL589865 ODH589863:ODH589865 OND589863:OND589865 OWZ589863:OWZ589865 PGV589863:PGV589865 PQR589863:PQR589865 QAN589863:QAN589865 QKJ589863:QKJ589865 QUF589863:QUF589865 REB589863:REB589865 RNX589863:RNX589865 RXT589863:RXT589865 SHP589863:SHP589865 SRL589863:SRL589865 TBH589863:TBH589865 TLD589863:TLD589865 TUZ589863:TUZ589865 UEV589863:UEV589865 UOR589863:UOR589865 UYN589863:UYN589865 VIJ589863:VIJ589865 VSF589863:VSF589865 WCB589863:WCB589865 WLX589863:WLX589865 WVT589863:WVT589865 L655399:L655401 JH655399:JH655401 TD655399:TD655401 ACZ655399:ACZ655401 AMV655399:AMV655401 AWR655399:AWR655401 BGN655399:BGN655401 BQJ655399:BQJ655401 CAF655399:CAF655401 CKB655399:CKB655401 CTX655399:CTX655401 DDT655399:DDT655401 DNP655399:DNP655401 DXL655399:DXL655401 EHH655399:EHH655401 ERD655399:ERD655401 FAZ655399:FAZ655401 FKV655399:FKV655401 FUR655399:FUR655401 GEN655399:GEN655401 GOJ655399:GOJ655401 GYF655399:GYF655401 HIB655399:HIB655401 HRX655399:HRX655401 IBT655399:IBT655401 ILP655399:ILP655401 IVL655399:IVL655401 JFH655399:JFH655401 JPD655399:JPD655401 JYZ655399:JYZ655401 KIV655399:KIV655401 KSR655399:KSR655401 LCN655399:LCN655401 LMJ655399:LMJ655401 LWF655399:LWF655401 MGB655399:MGB655401 MPX655399:MPX655401 MZT655399:MZT655401 NJP655399:NJP655401 NTL655399:NTL655401 ODH655399:ODH655401 OND655399:OND655401 OWZ655399:OWZ655401 PGV655399:PGV655401 PQR655399:PQR655401 QAN655399:QAN655401 QKJ655399:QKJ655401 QUF655399:QUF655401 REB655399:REB655401 RNX655399:RNX655401 RXT655399:RXT655401 SHP655399:SHP655401 SRL655399:SRL655401 TBH655399:TBH655401 TLD655399:TLD655401 TUZ655399:TUZ655401 UEV655399:UEV655401 UOR655399:UOR655401 UYN655399:UYN655401 VIJ655399:VIJ655401 VSF655399:VSF655401 WCB655399:WCB655401 WLX655399:WLX655401 WVT655399:WVT655401 L720935:L720937 JH720935:JH720937 TD720935:TD720937 ACZ720935:ACZ720937 AMV720935:AMV720937 AWR720935:AWR720937 BGN720935:BGN720937 BQJ720935:BQJ720937 CAF720935:CAF720937 CKB720935:CKB720937 CTX720935:CTX720937 DDT720935:DDT720937 DNP720935:DNP720937 DXL720935:DXL720937 EHH720935:EHH720937 ERD720935:ERD720937 FAZ720935:FAZ720937 FKV720935:FKV720937 FUR720935:FUR720937 GEN720935:GEN720937 GOJ720935:GOJ720937 GYF720935:GYF720937 HIB720935:HIB720937 HRX720935:HRX720937 IBT720935:IBT720937 ILP720935:ILP720937 IVL720935:IVL720937 JFH720935:JFH720937 JPD720935:JPD720937 JYZ720935:JYZ720937 KIV720935:KIV720937 KSR720935:KSR720937 LCN720935:LCN720937 LMJ720935:LMJ720937 LWF720935:LWF720937 MGB720935:MGB720937 MPX720935:MPX720937 MZT720935:MZT720937 NJP720935:NJP720937 NTL720935:NTL720937 ODH720935:ODH720937 OND720935:OND720937 OWZ720935:OWZ720937 PGV720935:PGV720937 PQR720935:PQR720937 QAN720935:QAN720937 QKJ720935:QKJ720937 QUF720935:QUF720937 REB720935:REB720937 RNX720935:RNX720937 RXT720935:RXT720937 SHP720935:SHP720937 SRL720935:SRL720937 TBH720935:TBH720937 TLD720935:TLD720937 TUZ720935:TUZ720937 UEV720935:UEV720937 UOR720935:UOR720937 UYN720935:UYN720937 VIJ720935:VIJ720937 VSF720935:VSF720937 WCB720935:WCB720937 WLX720935:WLX720937 WVT720935:WVT720937 L786471:L786473 JH786471:JH786473 TD786471:TD786473 ACZ786471:ACZ786473 AMV786471:AMV786473 AWR786471:AWR786473 BGN786471:BGN786473 BQJ786471:BQJ786473 CAF786471:CAF786473 CKB786471:CKB786473 CTX786471:CTX786473 DDT786471:DDT786473 DNP786471:DNP786473 DXL786471:DXL786473 EHH786471:EHH786473 ERD786471:ERD786473 FAZ786471:FAZ786473 FKV786471:FKV786473 FUR786471:FUR786473 GEN786471:GEN786473 GOJ786471:GOJ786473 GYF786471:GYF786473 HIB786471:HIB786473 HRX786471:HRX786473 IBT786471:IBT786473 ILP786471:ILP786473 IVL786471:IVL786473 JFH786471:JFH786473 JPD786471:JPD786473 JYZ786471:JYZ786473 KIV786471:KIV786473 KSR786471:KSR786473 LCN786471:LCN786473 LMJ786471:LMJ786473 LWF786471:LWF786473 MGB786471:MGB786473 MPX786471:MPX786473 MZT786471:MZT786473 NJP786471:NJP786473 NTL786471:NTL786473 ODH786471:ODH786473 OND786471:OND786473 OWZ786471:OWZ786473 PGV786471:PGV786473 PQR786471:PQR786473 QAN786471:QAN786473 QKJ786471:QKJ786473 QUF786471:QUF786473 REB786471:REB786473 RNX786471:RNX786473 RXT786471:RXT786473 SHP786471:SHP786473 SRL786471:SRL786473 TBH786471:TBH786473 TLD786471:TLD786473 TUZ786471:TUZ786473 UEV786471:UEV786473 UOR786471:UOR786473 UYN786471:UYN786473 VIJ786471:VIJ786473 VSF786471:VSF786473 WCB786471:WCB786473 WLX786471:WLX786473 WVT786471:WVT786473 L852007:L852009 JH852007:JH852009 TD852007:TD852009 ACZ852007:ACZ852009 AMV852007:AMV852009 AWR852007:AWR852009 BGN852007:BGN852009 BQJ852007:BQJ852009 CAF852007:CAF852009 CKB852007:CKB852009 CTX852007:CTX852009 DDT852007:DDT852009 DNP852007:DNP852009 DXL852007:DXL852009 EHH852007:EHH852009 ERD852007:ERD852009 FAZ852007:FAZ852009 FKV852007:FKV852009 FUR852007:FUR852009 GEN852007:GEN852009 GOJ852007:GOJ852009 GYF852007:GYF852009 HIB852007:HIB852009 HRX852007:HRX852009 IBT852007:IBT852009 ILP852007:ILP852009 IVL852007:IVL852009 JFH852007:JFH852009 JPD852007:JPD852009 JYZ852007:JYZ852009 KIV852007:KIV852009 KSR852007:KSR852009 LCN852007:LCN852009 LMJ852007:LMJ852009 LWF852007:LWF852009 MGB852007:MGB852009 MPX852007:MPX852009 MZT852007:MZT852009 NJP852007:NJP852009 NTL852007:NTL852009 ODH852007:ODH852009 OND852007:OND852009 OWZ852007:OWZ852009 PGV852007:PGV852009 PQR852007:PQR852009 QAN852007:QAN852009 QKJ852007:QKJ852009 QUF852007:QUF852009 REB852007:REB852009 RNX852007:RNX852009 RXT852007:RXT852009 SHP852007:SHP852009 SRL852007:SRL852009 TBH852007:TBH852009 TLD852007:TLD852009 TUZ852007:TUZ852009 UEV852007:UEV852009 UOR852007:UOR852009 UYN852007:UYN852009 VIJ852007:VIJ852009 VSF852007:VSF852009 WCB852007:WCB852009 WLX852007:WLX852009 WVT852007:WVT852009 L917543:L917545 JH917543:JH917545 TD917543:TD917545 ACZ917543:ACZ917545 AMV917543:AMV917545 AWR917543:AWR917545 BGN917543:BGN917545 BQJ917543:BQJ917545 CAF917543:CAF917545 CKB917543:CKB917545 CTX917543:CTX917545 DDT917543:DDT917545 DNP917543:DNP917545 DXL917543:DXL917545 EHH917543:EHH917545 ERD917543:ERD917545 FAZ917543:FAZ917545 FKV917543:FKV917545 FUR917543:FUR917545 GEN917543:GEN917545 GOJ917543:GOJ917545 GYF917543:GYF917545 HIB917543:HIB917545 HRX917543:HRX917545 IBT917543:IBT917545 ILP917543:ILP917545 IVL917543:IVL917545 JFH917543:JFH917545 JPD917543:JPD917545 JYZ917543:JYZ917545 KIV917543:KIV917545 KSR917543:KSR917545 LCN917543:LCN917545 LMJ917543:LMJ917545 LWF917543:LWF917545 MGB917543:MGB917545 MPX917543:MPX917545 MZT917543:MZT917545 NJP917543:NJP917545 NTL917543:NTL917545 ODH917543:ODH917545 OND917543:OND917545 OWZ917543:OWZ917545 PGV917543:PGV917545 PQR917543:PQR917545 QAN917543:QAN917545 QKJ917543:QKJ917545 QUF917543:QUF917545 REB917543:REB917545 RNX917543:RNX917545 RXT917543:RXT917545 SHP917543:SHP917545 SRL917543:SRL917545 TBH917543:TBH917545 TLD917543:TLD917545 TUZ917543:TUZ917545 UEV917543:UEV917545 UOR917543:UOR917545 UYN917543:UYN917545 VIJ917543:VIJ917545 VSF917543:VSF917545 WCB917543:WCB917545 WLX917543:WLX917545 WVT917543:WVT917545 L983079:L983081 JH983079:JH983081 TD983079:TD983081 ACZ983079:ACZ983081 AMV983079:AMV983081 AWR983079:AWR983081 BGN983079:BGN983081 BQJ983079:BQJ983081 CAF983079:CAF983081 CKB983079:CKB983081 CTX983079:CTX983081 DDT983079:DDT983081 DNP983079:DNP983081 DXL983079:DXL983081 EHH983079:EHH983081 ERD983079:ERD983081 FAZ983079:FAZ983081 FKV983079:FKV983081 FUR983079:FUR983081 GEN983079:GEN983081 GOJ983079:GOJ983081 GYF983079:GYF983081 HIB983079:HIB983081 HRX983079:HRX983081 IBT983079:IBT983081 ILP983079:ILP983081 IVL983079:IVL983081 JFH983079:JFH983081 JPD983079:JPD983081 JYZ983079:JYZ983081 KIV983079:KIV983081 KSR983079:KSR983081 LCN983079:LCN983081 LMJ983079:LMJ983081 LWF983079:LWF983081 MGB983079:MGB983081 MPX983079:MPX983081 MZT983079:MZT983081 NJP983079:NJP983081 NTL983079:NTL983081 ODH983079:ODH983081 OND983079:OND983081 OWZ983079:OWZ983081 PGV983079:PGV983081 PQR983079:PQR983081 QAN983079:QAN983081 QKJ983079:QKJ983081 QUF983079:QUF983081 REB983079:REB983081 RNX983079:RNX983081 RXT983079:RXT983081 SHP983079:SHP983081 SRL983079:SRL983081 TBH983079:TBH983081 TLD983079:TLD983081 TUZ983079:TUZ983081 UEV983079:UEV983081 UOR983079:UOR983081 UYN983079:UYN983081 VIJ983079:VIJ983081 VSF983079:VSF983081 WCB983079:WCB983081 WLX983079:WLX983081 WVT40:WVT44 JH40:JH44 TD40:TD44 ACZ40:ACZ44 AMV40:AMV44 AWR40:AWR44 BGN40:BGN44 BQJ40:BQJ44 CAF40:CAF44 CKB40:CKB44 CTX40:CTX44 DDT40:DDT44 DNP40:DNP44 DXL40:DXL44 EHH40:EHH44 ERD40:ERD44 FAZ40:FAZ44 FKV40:FKV44 FUR40:FUR44 GEN40:GEN44 GOJ40:GOJ44 GYF40:GYF44 HIB40:HIB44 HRX40:HRX44 IBT40:IBT44 ILP40:ILP44 IVL40:IVL44 JFH40:JFH44 JPD40:JPD44 JYZ40:JYZ44 KIV40:KIV44 KSR40:KSR44 LCN40:LCN44 LMJ40:LMJ44 LWF40:LWF44 MGB40:MGB44 MPX40:MPX44 MZT40:MZT44 NJP40:NJP44 NTL40:NTL44 ODH40:ODH44 OND40:OND44 OWZ40:OWZ44 PGV40:PGV44 PQR40:PQR44 QAN40:QAN44 QKJ40:QKJ44 QUF40:QUF44 REB40:REB44 RNX40:RNX44 RXT40:RXT44 SHP40:SHP44 SRL40:SRL44 TBH40:TBH44 TLD40:TLD44 TUZ40:TUZ44 UEV40:UEV44 UOR40:UOR44 UYN40:UYN44 VIJ40:VIJ44 VSF40:VSF44 WCB40:WCB44 WLX40:WLX44 L40 L44" xr:uid="{2C8B5BE5-C519-4366-9FE6-C45E1385E7F6}">
      <formula1>0</formula1>
      <formula2>0.03</formula2>
    </dataValidation>
    <dataValidation type="whole" allowBlank="1" showInputMessage="1" showErrorMessage="1" error="U moet hier een 1 of 2 invullen." sqref="H34 JD34 SZ34 ACV34 AMR34 AWN34 BGJ34 BQF34 CAB34 CJX34 CTT34 DDP34 DNL34 DXH34 EHD34 EQZ34 FAV34 FKR34 FUN34 GEJ34 GOF34 GYB34 HHX34 HRT34 IBP34 ILL34 IVH34 JFD34 JOZ34 JYV34 KIR34 KSN34 LCJ34 LMF34 LWB34 MFX34 MPT34 MZP34 NJL34 NTH34 ODD34 OMZ34 OWV34 PGR34 PQN34 QAJ34 QKF34 QUB34 RDX34 RNT34 RXP34 SHL34 SRH34 TBD34 TKZ34 TUV34 UER34 UON34 UYJ34 VIF34 VSB34 WBX34 WLT34 WVP34 H65569 JD65569 SZ65569 ACV65569 AMR65569 AWN65569 BGJ65569 BQF65569 CAB65569 CJX65569 CTT65569 DDP65569 DNL65569 DXH65569 EHD65569 EQZ65569 FAV65569 FKR65569 FUN65569 GEJ65569 GOF65569 GYB65569 HHX65569 HRT65569 IBP65569 ILL65569 IVH65569 JFD65569 JOZ65569 JYV65569 KIR65569 KSN65569 LCJ65569 LMF65569 LWB65569 MFX65569 MPT65569 MZP65569 NJL65569 NTH65569 ODD65569 OMZ65569 OWV65569 PGR65569 PQN65569 QAJ65569 QKF65569 QUB65569 RDX65569 RNT65569 RXP65569 SHL65569 SRH65569 TBD65569 TKZ65569 TUV65569 UER65569 UON65569 UYJ65569 VIF65569 VSB65569 WBX65569 WLT65569 WVP65569 H131105 JD131105 SZ131105 ACV131105 AMR131105 AWN131105 BGJ131105 BQF131105 CAB131105 CJX131105 CTT131105 DDP131105 DNL131105 DXH131105 EHD131105 EQZ131105 FAV131105 FKR131105 FUN131105 GEJ131105 GOF131105 GYB131105 HHX131105 HRT131105 IBP131105 ILL131105 IVH131105 JFD131105 JOZ131105 JYV131105 KIR131105 KSN131105 LCJ131105 LMF131105 LWB131105 MFX131105 MPT131105 MZP131105 NJL131105 NTH131105 ODD131105 OMZ131105 OWV131105 PGR131105 PQN131105 QAJ131105 QKF131105 QUB131105 RDX131105 RNT131105 RXP131105 SHL131105 SRH131105 TBD131105 TKZ131105 TUV131105 UER131105 UON131105 UYJ131105 VIF131105 VSB131105 WBX131105 WLT131105 WVP131105 H196641 JD196641 SZ196641 ACV196641 AMR196641 AWN196641 BGJ196641 BQF196641 CAB196641 CJX196641 CTT196641 DDP196641 DNL196641 DXH196641 EHD196641 EQZ196641 FAV196641 FKR196641 FUN196641 GEJ196641 GOF196641 GYB196641 HHX196641 HRT196641 IBP196641 ILL196641 IVH196641 JFD196641 JOZ196641 JYV196641 KIR196641 KSN196641 LCJ196641 LMF196641 LWB196641 MFX196641 MPT196641 MZP196641 NJL196641 NTH196641 ODD196641 OMZ196641 OWV196641 PGR196641 PQN196641 QAJ196641 QKF196641 QUB196641 RDX196641 RNT196641 RXP196641 SHL196641 SRH196641 TBD196641 TKZ196641 TUV196641 UER196641 UON196641 UYJ196641 VIF196641 VSB196641 WBX196641 WLT196641 WVP196641 H262177 JD262177 SZ262177 ACV262177 AMR262177 AWN262177 BGJ262177 BQF262177 CAB262177 CJX262177 CTT262177 DDP262177 DNL262177 DXH262177 EHD262177 EQZ262177 FAV262177 FKR262177 FUN262177 GEJ262177 GOF262177 GYB262177 HHX262177 HRT262177 IBP262177 ILL262177 IVH262177 JFD262177 JOZ262177 JYV262177 KIR262177 KSN262177 LCJ262177 LMF262177 LWB262177 MFX262177 MPT262177 MZP262177 NJL262177 NTH262177 ODD262177 OMZ262177 OWV262177 PGR262177 PQN262177 QAJ262177 QKF262177 QUB262177 RDX262177 RNT262177 RXP262177 SHL262177 SRH262177 TBD262177 TKZ262177 TUV262177 UER262177 UON262177 UYJ262177 VIF262177 VSB262177 WBX262177 WLT262177 WVP262177 H327713 JD327713 SZ327713 ACV327713 AMR327713 AWN327713 BGJ327713 BQF327713 CAB327713 CJX327713 CTT327713 DDP327713 DNL327713 DXH327713 EHD327713 EQZ327713 FAV327713 FKR327713 FUN327713 GEJ327713 GOF327713 GYB327713 HHX327713 HRT327713 IBP327713 ILL327713 IVH327713 JFD327713 JOZ327713 JYV327713 KIR327713 KSN327713 LCJ327713 LMF327713 LWB327713 MFX327713 MPT327713 MZP327713 NJL327713 NTH327713 ODD327713 OMZ327713 OWV327713 PGR327713 PQN327713 QAJ327713 QKF327713 QUB327713 RDX327713 RNT327713 RXP327713 SHL327713 SRH327713 TBD327713 TKZ327713 TUV327713 UER327713 UON327713 UYJ327713 VIF327713 VSB327713 WBX327713 WLT327713 WVP327713 H393249 JD393249 SZ393249 ACV393249 AMR393249 AWN393249 BGJ393249 BQF393249 CAB393249 CJX393249 CTT393249 DDP393249 DNL393249 DXH393249 EHD393249 EQZ393249 FAV393249 FKR393249 FUN393249 GEJ393249 GOF393249 GYB393249 HHX393249 HRT393249 IBP393249 ILL393249 IVH393249 JFD393249 JOZ393249 JYV393249 KIR393249 KSN393249 LCJ393249 LMF393249 LWB393249 MFX393249 MPT393249 MZP393249 NJL393249 NTH393249 ODD393249 OMZ393249 OWV393249 PGR393249 PQN393249 QAJ393249 QKF393249 QUB393249 RDX393249 RNT393249 RXP393249 SHL393249 SRH393249 TBD393249 TKZ393249 TUV393249 UER393249 UON393249 UYJ393249 VIF393249 VSB393249 WBX393249 WLT393249 WVP393249 H458785 JD458785 SZ458785 ACV458785 AMR458785 AWN458785 BGJ458785 BQF458785 CAB458785 CJX458785 CTT458785 DDP458785 DNL458785 DXH458785 EHD458785 EQZ458785 FAV458785 FKR458785 FUN458785 GEJ458785 GOF458785 GYB458785 HHX458785 HRT458785 IBP458785 ILL458785 IVH458785 JFD458785 JOZ458785 JYV458785 KIR458785 KSN458785 LCJ458785 LMF458785 LWB458785 MFX458785 MPT458785 MZP458785 NJL458785 NTH458785 ODD458785 OMZ458785 OWV458785 PGR458785 PQN458785 QAJ458785 QKF458785 QUB458785 RDX458785 RNT458785 RXP458785 SHL458785 SRH458785 TBD458785 TKZ458785 TUV458785 UER458785 UON458785 UYJ458785 VIF458785 VSB458785 WBX458785 WLT458785 WVP458785 H524321 JD524321 SZ524321 ACV524321 AMR524321 AWN524321 BGJ524321 BQF524321 CAB524321 CJX524321 CTT524321 DDP524321 DNL524321 DXH524321 EHD524321 EQZ524321 FAV524321 FKR524321 FUN524321 GEJ524321 GOF524321 GYB524321 HHX524321 HRT524321 IBP524321 ILL524321 IVH524321 JFD524321 JOZ524321 JYV524321 KIR524321 KSN524321 LCJ524321 LMF524321 LWB524321 MFX524321 MPT524321 MZP524321 NJL524321 NTH524321 ODD524321 OMZ524321 OWV524321 PGR524321 PQN524321 QAJ524321 QKF524321 QUB524321 RDX524321 RNT524321 RXP524321 SHL524321 SRH524321 TBD524321 TKZ524321 TUV524321 UER524321 UON524321 UYJ524321 VIF524321 VSB524321 WBX524321 WLT524321 WVP524321 H589857 JD589857 SZ589857 ACV589857 AMR589857 AWN589857 BGJ589857 BQF589857 CAB589857 CJX589857 CTT589857 DDP589857 DNL589857 DXH589857 EHD589857 EQZ589857 FAV589857 FKR589857 FUN589857 GEJ589857 GOF589857 GYB589857 HHX589857 HRT589857 IBP589857 ILL589857 IVH589857 JFD589857 JOZ589857 JYV589857 KIR589857 KSN589857 LCJ589857 LMF589857 LWB589857 MFX589857 MPT589857 MZP589857 NJL589857 NTH589857 ODD589857 OMZ589857 OWV589857 PGR589857 PQN589857 QAJ589857 QKF589857 QUB589857 RDX589857 RNT589857 RXP589857 SHL589857 SRH589857 TBD589857 TKZ589857 TUV589857 UER589857 UON589857 UYJ589857 VIF589857 VSB589857 WBX589857 WLT589857 WVP589857 H655393 JD655393 SZ655393 ACV655393 AMR655393 AWN655393 BGJ655393 BQF655393 CAB655393 CJX655393 CTT655393 DDP655393 DNL655393 DXH655393 EHD655393 EQZ655393 FAV655393 FKR655393 FUN655393 GEJ655393 GOF655393 GYB655393 HHX655393 HRT655393 IBP655393 ILL655393 IVH655393 JFD655393 JOZ655393 JYV655393 KIR655393 KSN655393 LCJ655393 LMF655393 LWB655393 MFX655393 MPT655393 MZP655393 NJL655393 NTH655393 ODD655393 OMZ655393 OWV655393 PGR655393 PQN655393 QAJ655393 QKF655393 QUB655393 RDX655393 RNT655393 RXP655393 SHL655393 SRH655393 TBD655393 TKZ655393 TUV655393 UER655393 UON655393 UYJ655393 VIF655393 VSB655393 WBX655393 WLT655393 WVP655393 H720929 JD720929 SZ720929 ACV720929 AMR720929 AWN720929 BGJ720929 BQF720929 CAB720929 CJX720929 CTT720929 DDP720929 DNL720929 DXH720929 EHD720929 EQZ720929 FAV720929 FKR720929 FUN720929 GEJ720929 GOF720929 GYB720929 HHX720929 HRT720929 IBP720929 ILL720929 IVH720929 JFD720929 JOZ720929 JYV720929 KIR720929 KSN720929 LCJ720929 LMF720929 LWB720929 MFX720929 MPT720929 MZP720929 NJL720929 NTH720929 ODD720929 OMZ720929 OWV720929 PGR720929 PQN720929 QAJ720929 QKF720929 QUB720929 RDX720929 RNT720929 RXP720929 SHL720929 SRH720929 TBD720929 TKZ720929 TUV720929 UER720929 UON720929 UYJ720929 VIF720929 VSB720929 WBX720929 WLT720929 WVP720929 H786465 JD786465 SZ786465 ACV786465 AMR786465 AWN786465 BGJ786465 BQF786465 CAB786465 CJX786465 CTT786465 DDP786465 DNL786465 DXH786465 EHD786465 EQZ786465 FAV786465 FKR786465 FUN786465 GEJ786465 GOF786465 GYB786465 HHX786465 HRT786465 IBP786465 ILL786465 IVH786465 JFD786465 JOZ786465 JYV786465 KIR786465 KSN786465 LCJ786465 LMF786465 LWB786465 MFX786465 MPT786465 MZP786465 NJL786465 NTH786465 ODD786465 OMZ786465 OWV786465 PGR786465 PQN786465 QAJ786465 QKF786465 QUB786465 RDX786465 RNT786465 RXP786465 SHL786465 SRH786465 TBD786465 TKZ786465 TUV786465 UER786465 UON786465 UYJ786465 VIF786465 VSB786465 WBX786465 WLT786465 WVP786465 H852001 JD852001 SZ852001 ACV852001 AMR852001 AWN852001 BGJ852001 BQF852001 CAB852001 CJX852001 CTT852001 DDP852001 DNL852001 DXH852001 EHD852001 EQZ852001 FAV852001 FKR852001 FUN852001 GEJ852001 GOF852001 GYB852001 HHX852001 HRT852001 IBP852001 ILL852001 IVH852001 JFD852001 JOZ852001 JYV852001 KIR852001 KSN852001 LCJ852001 LMF852001 LWB852001 MFX852001 MPT852001 MZP852001 NJL852001 NTH852001 ODD852001 OMZ852001 OWV852001 PGR852001 PQN852001 QAJ852001 QKF852001 QUB852001 RDX852001 RNT852001 RXP852001 SHL852001 SRH852001 TBD852001 TKZ852001 TUV852001 UER852001 UON852001 UYJ852001 VIF852001 VSB852001 WBX852001 WLT852001 WVP852001 H917537 JD917537 SZ917537 ACV917537 AMR917537 AWN917537 BGJ917537 BQF917537 CAB917537 CJX917537 CTT917537 DDP917537 DNL917537 DXH917537 EHD917537 EQZ917537 FAV917537 FKR917537 FUN917537 GEJ917537 GOF917537 GYB917537 HHX917537 HRT917537 IBP917537 ILL917537 IVH917537 JFD917537 JOZ917537 JYV917537 KIR917537 KSN917537 LCJ917537 LMF917537 LWB917537 MFX917537 MPT917537 MZP917537 NJL917537 NTH917537 ODD917537 OMZ917537 OWV917537 PGR917537 PQN917537 QAJ917537 QKF917537 QUB917537 RDX917537 RNT917537 RXP917537 SHL917537 SRH917537 TBD917537 TKZ917537 TUV917537 UER917537 UON917537 UYJ917537 VIF917537 VSB917537 WBX917537 WLT917537 WVP917537 H983073 JD983073 SZ983073 ACV983073 AMR983073 AWN983073 BGJ983073 BQF983073 CAB983073 CJX983073 CTT983073 DDP983073 DNL983073 DXH983073 EHD983073 EQZ983073 FAV983073 FKR983073 FUN983073 GEJ983073 GOF983073 GYB983073 HHX983073 HRT983073 IBP983073 ILL983073 IVH983073 JFD983073 JOZ983073 JYV983073 KIR983073 KSN983073 LCJ983073 LMF983073 LWB983073 MFX983073 MPT983073 MZP983073 NJL983073 NTH983073 ODD983073 OMZ983073 OWV983073 PGR983073 PQN983073 QAJ983073 QKF983073 QUB983073 RDX983073 RNT983073 RXP983073 SHL983073 SRH983073 TBD983073 TKZ983073 TUV983073 UER983073 UON983073 UYJ983073 VIF983073 VSB983073 WBX983073 WLT983073 WVP983073" xr:uid="{010F7B85-A746-44C5-A4A9-6CB0858E6550}">
      <formula1>1</formula1>
      <formula2>2</formula2>
    </dataValidation>
    <dataValidation type="whole" allowBlank="1" showInputMessage="1" showErrorMessage="1" error="U moet hier een geheel aantal jaren met een maximum van de subsidielooptijd invullen." sqref="WVM983073 JA34 SW34 ACS34 AMO34 AWK34 BGG34 BQC34 BZY34 CJU34 CTQ34 DDM34 DNI34 DXE34 EHA34 EQW34 FAS34 FKO34 FUK34 GEG34 GOC34 GXY34 HHU34 HRQ34 IBM34 ILI34 IVE34 JFA34 JOW34 JYS34 KIO34 KSK34 LCG34 LMC34 LVY34 MFU34 MPQ34 MZM34 NJI34 NTE34 ODA34 OMW34 OWS34 PGO34 PQK34 QAG34 QKC34 QTY34 RDU34 RNQ34 RXM34 SHI34 SRE34 TBA34 TKW34 TUS34 UEO34 UOK34 UYG34 VIC34 VRY34 WBU34 WLQ34 WVM34 E65569 JA65569 SW65569 ACS65569 AMO65569 AWK65569 BGG65569 BQC65569 BZY65569 CJU65569 CTQ65569 DDM65569 DNI65569 DXE65569 EHA65569 EQW65569 FAS65569 FKO65569 FUK65569 GEG65569 GOC65569 GXY65569 HHU65569 HRQ65569 IBM65569 ILI65569 IVE65569 JFA65569 JOW65569 JYS65569 KIO65569 KSK65569 LCG65569 LMC65569 LVY65569 MFU65569 MPQ65569 MZM65569 NJI65569 NTE65569 ODA65569 OMW65569 OWS65569 PGO65569 PQK65569 QAG65569 QKC65569 QTY65569 RDU65569 RNQ65569 RXM65569 SHI65569 SRE65569 TBA65569 TKW65569 TUS65569 UEO65569 UOK65569 UYG65569 VIC65569 VRY65569 WBU65569 WLQ65569 WVM65569 E131105 JA131105 SW131105 ACS131105 AMO131105 AWK131105 BGG131105 BQC131105 BZY131105 CJU131105 CTQ131105 DDM131105 DNI131105 DXE131105 EHA131105 EQW131105 FAS131105 FKO131105 FUK131105 GEG131105 GOC131105 GXY131105 HHU131105 HRQ131105 IBM131105 ILI131105 IVE131105 JFA131105 JOW131105 JYS131105 KIO131105 KSK131105 LCG131105 LMC131105 LVY131105 MFU131105 MPQ131105 MZM131105 NJI131105 NTE131105 ODA131105 OMW131105 OWS131105 PGO131105 PQK131105 QAG131105 QKC131105 QTY131105 RDU131105 RNQ131105 RXM131105 SHI131105 SRE131105 TBA131105 TKW131105 TUS131105 UEO131105 UOK131105 UYG131105 VIC131105 VRY131105 WBU131105 WLQ131105 WVM131105 E196641 JA196641 SW196641 ACS196641 AMO196641 AWK196641 BGG196641 BQC196641 BZY196641 CJU196641 CTQ196641 DDM196641 DNI196641 DXE196641 EHA196641 EQW196641 FAS196641 FKO196641 FUK196641 GEG196641 GOC196641 GXY196641 HHU196641 HRQ196641 IBM196641 ILI196641 IVE196641 JFA196641 JOW196641 JYS196641 KIO196641 KSK196641 LCG196641 LMC196641 LVY196641 MFU196641 MPQ196641 MZM196641 NJI196641 NTE196641 ODA196641 OMW196641 OWS196641 PGO196641 PQK196641 QAG196641 QKC196641 QTY196641 RDU196641 RNQ196641 RXM196641 SHI196641 SRE196641 TBA196641 TKW196641 TUS196641 UEO196641 UOK196641 UYG196641 VIC196641 VRY196641 WBU196641 WLQ196641 WVM196641 E262177 JA262177 SW262177 ACS262177 AMO262177 AWK262177 BGG262177 BQC262177 BZY262177 CJU262177 CTQ262177 DDM262177 DNI262177 DXE262177 EHA262177 EQW262177 FAS262177 FKO262177 FUK262177 GEG262177 GOC262177 GXY262177 HHU262177 HRQ262177 IBM262177 ILI262177 IVE262177 JFA262177 JOW262177 JYS262177 KIO262177 KSK262177 LCG262177 LMC262177 LVY262177 MFU262177 MPQ262177 MZM262177 NJI262177 NTE262177 ODA262177 OMW262177 OWS262177 PGO262177 PQK262177 QAG262177 QKC262177 QTY262177 RDU262177 RNQ262177 RXM262177 SHI262177 SRE262177 TBA262177 TKW262177 TUS262177 UEO262177 UOK262177 UYG262177 VIC262177 VRY262177 WBU262177 WLQ262177 WVM262177 E327713 JA327713 SW327713 ACS327713 AMO327713 AWK327713 BGG327713 BQC327713 BZY327713 CJU327713 CTQ327713 DDM327713 DNI327713 DXE327713 EHA327713 EQW327713 FAS327713 FKO327713 FUK327713 GEG327713 GOC327713 GXY327713 HHU327713 HRQ327713 IBM327713 ILI327713 IVE327713 JFA327713 JOW327713 JYS327713 KIO327713 KSK327713 LCG327713 LMC327713 LVY327713 MFU327713 MPQ327713 MZM327713 NJI327713 NTE327713 ODA327713 OMW327713 OWS327713 PGO327713 PQK327713 QAG327713 QKC327713 QTY327713 RDU327713 RNQ327713 RXM327713 SHI327713 SRE327713 TBA327713 TKW327713 TUS327713 UEO327713 UOK327713 UYG327713 VIC327713 VRY327713 WBU327713 WLQ327713 WVM327713 E393249 JA393249 SW393249 ACS393249 AMO393249 AWK393249 BGG393249 BQC393249 BZY393249 CJU393249 CTQ393249 DDM393249 DNI393249 DXE393249 EHA393249 EQW393249 FAS393249 FKO393249 FUK393249 GEG393249 GOC393249 GXY393249 HHU393249 HRQ393249 IBM393249 ILI393249 IVE393249 JFA393249 JOW393249 JYS393249 KIO393249 KSK393249 LCG393249 LMC393249 LVY393249 MFU393249 MPQ393249 MZM393249 NJI393249 NTE393249 ODA393249 OMW393249 OWS393249 PGO393249 PQK393249 QAG393249 QKC393249 QTY393249 RDU393249 RNQ393249 RXM393249 SHI393249 SRE393249 TBA393249 TKW393249 TUS393249 UEO393249 UOK393249 UYG393249 VIC393249 VRY393249 WBU393249 WLQ393249 WVM393249 E458785 JA458785 SW458785 ACS458785 AMO458785 AWK458785 BGG458785 BQC458785 BZY458785 CJU458785 CTQ458785 DDM458785 DNI458785 DXE458785 EHA458785 EQW458785 FAS458785 FKO458785 FUK458785 GEG458785 GOC458785 GXY458785 HHU458785 HRQ458785 IBM458785 ILI458785 IVE458785 JFA458785 JOW458785 JYS458785 KIO458785 KSK458785 LCG458785 LMC458785 LVY458785 MFU458785 MPQ458785 MZM458785 NJI458785 NTE458785 ODA458785 OMW458785 OWS458785 PGO458785 PQK458785 QAG458785 QKC458785 QTY458785 RDU458785 RNQ458785 RXM458785 SHI458785 SRE458785 TBA458785 TKW458785 TUS458785 UEO458785 UOK458785 UYG458785 VIC458785 VRY458785 WBU458785 WLQ458785 WVM458785 E524321 JA524321 SW524321 ACS524321 AMO524321 AWK524321 BGG524321 BQC524321 BZY524321 CJU524321 CTQ524321 DDM524321 DNI524321 DXE524321 EHA524321 EQW524321 FAS524321 FKO524321 FUK524321 GEG524321 GOC524321 GXY524321 HHU524321 HRQ524321 IBM524321 ILI524321 IVE524321 JFA524321 JOW524321 JYS524321 KIO524321 KSK524321 LCG524321 LMC524321 LVY524321 MFU524321 MPQ524321 MZM524321 NJI524321 NTE524321 ODA524321 OMW524321 OWS524321 PGO524321 PQK524321 QAG524321 QKC524321 QTY524321 RDU524321 RNQ524321 RXM524321 SHI524321 SRE524321 TBA524321 TKW524321 TUS524321 UEO524321 UOK524321 UYG524321 VIC524321 VRY524321 WBU524321 WLQ524321 WVM524321 E589857 JA589857 SW589857 ACS589857 AMO589857 AWK589857 BGG589857 BQC589857 BZY589857 CJU589857 CTQ589857 DDM589857 DNI589857 DXE589857 EHA589857 EQW589857 FAS589857 FKO589857 FUK589857 GEG589857 GOC589857 GXY589857 HHU589857 HRQ589857 IBM589857 ILI589857 IVE589857 JFA589857 JOW589857 JYS589857 KIO589857 KSK589857 LCG589857 LMC589857 LVY589857 MFU589857 MPQ589857 MZM589857 NJI589857 NTE589857 ODA589857 OMW589857 OWS589857 PGO589857 PQK589857 QAG589857 QKC589857 QTY589857 RDU589857 RNQ589857 RXM589857 SHI589857 SRE589857 TBA589857 TKW589857 TUS589857 UEO589857 UOK589857 UYG589857 VIC589857 VRY589857 WBU589857 WLQ589857 WVM589857 E655393 JA655393 SW655393 ACS655393 AMO655393 AWK655393 BGG655393 BQC655393 BZY655393 CJU655393 CTQ655393 DDM655393 DNI655393 DXE655393 EHA655393 EQW655393 FAS655393 FKO655393 FUK655393 GEG655393 GOC655393 GXY655393 HHU655393 HRQ655393 IBM655393 ILI655393 IVE655393 JFA655393 JOW655393 JYS655393 KIO655393 KSK655393 LCG655393 LMC655393 LVY655393 MFU655393 MPQ655393 MZM655393 NJI655393 NTE655393 ODA655393 OMW655393 OWS655393 PGO655393 PQK655393 QAG655393 QKC655393 QTY655393 RDU655393 RNQ655393 RXM655393 SHI655393 SRE655393 TBA655393 TKW655393 TUS655393 UEO655393 UOK655393 UYG655393 VIC655393 VRY655393 WBU655393 WLQ655393 WVM655393 E720929 JA720929 SW720929 ACS720929 AMO720929 AWK720929 BGG720929 BQC720929 BZY720929 CJU720929 CTQ720929 DDM720929 DNI720929 DXE720929 EHA720929 EQW720929 FAS720929 FKO720929 FUK720929 GEG720929 GOC720929 GXY720929 HHU720929 HRQ720929 IBM720929 ILI720929 IVE720929 JFA720929 JOW720929 JYS720929 KIO720929 KSK720929 LCG720929 LMC720929 LVY720929 MFU720929 MPQ720929 MZM720929 NJI720929 NTE720929 ODA720929 OMW720929 OWS720929 PGO720929 PQK720929 QAG720929 QKC720929 QTY720929 RDU720929 RNQ720929 RXM720929 SHI720929 SRE720929 TBA720929 TKW720929 TUS720929 UEO720929 UOK720929 UYG720929 VIC720929 VRY720929 WBU720929 WLQ720929 WVM720929 E786465 JA786465 SW786465 ACS786465 AMO786465 AWK786465 BGG786465 BQC786465 BZY786465 CJU786465 CTQ786465 DDM786465 DNI786465 DXE786465 EHA786465 EQW786465 FAS786465 FKO786465 FUK786465 GEG786465 GOC786465 GXY786465 HHU786465 HRQ786465 IBM786465 ILI786465 IVE786465 JFA786465 JOW786465 JYS786465 KIO786465 KSK786465 LCG786465 LMC786465 LVY786465 MFU786465 MPQ786465 MZM786465 NJI786465 NTE786465 ODA786465 OMW786465 OWS786465 PGO786465 PQK786465 QAG786465 QKC786465 QTY786465 RDU786465 RNQ786465 RXM786465 SHI786465 SRE786465 TBA786465 TKW786465 TUS786465 UEO786465 UOK786465 UYG786465 VIC786465 VRY786465 WBU786465 WLQ786465 WVM786465 E852001 JA852001 SW852001 ACS852001 AMO852001 AWK852001 BGG852001 BQC852001 BZY852001 CJU852001 CTQ852001 DDM852001 DNI852001 DXE852001 EHA852001 EQW852001 FAS852001 FKO852001 FUK852001 GEG852001 GOC852001 GXY852001 HHU852001 HRQ852001 IBM852001 ILI852001 IVE852001 JFA852001 JOW852001 JYS852001 KIO852001 KSK852001 LCG852001 LMC852001 LVY852001 MFU852001 MPQ852001 MZM852001 NJI852001 NTE852001 ODA852001 OMW852001 OWS852001 PGO852001 PQK852001 QAG852001 QKC852001 QTY852001 RDU852001 RNQ852001 RXM852001 SHI852001 SRE852001 TBA852001 TKW852001 TUS852001 UEO852001 UOK852001 UYG852001 VIC852001 VRY852001 WBU852001 WLQ852001 WVM852001 E917537 JA917537 SW917537 ACS917537 AMO917537 AWK917537 BGG917537 BQC917537 BZY917537 CJU917537 CTQ917537 DDM917537 DNI917537 DXE917537 EHA917537 EQW917537 FAS917537 FKO917537 FUK917537 GEG917537 GOC917537 GXY917537 HHU917537 HRQ917537 IBM917537 ILI917537 IVE917537 JFA917537 JOW917537 JYS917537 KIO917537 KSK917537 LCG917537 LMC917537 LVY917537 MFU917537 MPQ917537 MZM917537 NJI917537 NTE917537 ODA917537 OMW917537 OWS917537 PGO917537 PQK917537 QAG917537 QKC917537 QTY917537 RDU917537 RNQ917537 RXM917537 SHI917537 SRE917537 TBA917537 TKW917537 TUS917537 UEO917537 UOK917537 UYG917537 VIC917537 VRY917537 WBU917537 WLQ917537 WVM917537 E983073 JA983073 SW983073 ACS983073 AMO983073 AWK983073 BGG983073 BQC983073 BZY983073 CJU983073 CTQ983073 DDM983073 DNI983073 DXE983073 EHA983073 EQW983073 FAS983073 FKO983073 FUK983073 GEG983073 GOC983073 GXY983073 HHU983073 HRQ983073 IBM983073 ILI983073 IVE983073 JFA983073 JOW983073 JYS983073 KIO983073 KSK983073 LCG983073 LMC983073 LVY983073 MFU983073 MPQ983073 MZM983073 NJI983073 NTE983073 ODA983073 OMW983073 OWS983073 PGO983073 PQK983073 QAG983073 QKC983073 QTY983073 RDU983073 RNQ983073 RXM983073 SHI983073 SRE983073 TBA983073 TKW983073 TUS983073 UEO983073 UOK983073 UYG983073 VIC983073 VRY983073 WBU983073 WLQ983073" xr:uid="{535AD22C-A322-4CC2-9149-A2A8A86EF78B}">
      <formula1>0</formula1>
      <formula2>15</formula2>
    </dataValidation>
    <dataValidation type="decimal" allowBlank="1" showInputMessage="1" showErrorMessage="1" error="U kunt maximaal een percentage van 3,0% invullen. Klik op &quot;Annuleren&quot; en vul een ander percentage in. " sqref="L65586:L65587 JH65586:JH65587 TD65586:TD65587 ACZ65586:ACZ65587 AMV65586:AMV65587 AWR65586:AWR65587 BGN65586:BGN65587 BQJ65586:BQJ65587 CAF65586:CAF65587 CKB65586:CKB65587 CTX65586:CTX65587 DDT65586:DDT65587 DNP65586:DNP65587 DXL65586:DXL65587 EHH65586:EHH65587 ERD65586:ERD65587 FAZ65586:FAZ65587 FKV65586:FKV65587 FUR65586:FUR65587 GEN65586:GEN65587 GOJ65586:GOJ65587 GYF65586:GYF65587 HIB65586:HIB65587 HRX65586:HRX65587 IBT65586:IBT65587 ILP65586:ILP65587 IVL65586:IVL65587 JFH65586:JFH65587 JPD65586:JPD65587 JYZ65586:JYZ65587 KIV65586:KIV65587 KSR65586:KSR65587 LCN65586:LCN65587 LMJ65586:LMJ65587 LWF65586:LWF65587 MGB65586:MGB65587 MPX65586:MPX65587 MZT65586:MZT65587 NJP65586:NJP65587 NTL65586:NTL65587 ODH65586:ODH65587 OND65586:OND65587 OWZ65586:OWZ65587 PGV65586:PGV65587 PQR65586:PQR65587 QAN65586:QAN65587 QKJ65586:QKJ65587 QUF65586:QUF65587 REB65586:REB65587 RNX65586:RNX65587 RXT65586:RXT65587 SHP65586:SHP65587 SRL65586:SRL65587 TBH65586:TBH65587 TLD65586:TLD65587 TUZ65586:TUZ65587 UEV65586:UEV65587 UOR65586:UOR65587 UYN65586:UYN65587 VIJ65586:VIJ65587 VSF65586:VSF65587 WCB65586:WCB65587 WLX65586:WLX65587 WVT65586:WVT65587 L131122:L131123 JH131122:JH131123 TD131122:TD131123 ACZ131122:ACZ131123 AMV131122:AMV131123 AWR131122:AWR131123 BGN131122:BGN131123 BQJ131122:BQJ131123 CAF131122:CAF131123 CKB131122:CKB131123 CTX131122:CTX131123 DDT131122:DDT131123 DNP131122:DNP131123 DXL131122:DXL131123 EHH131122:EHH131123 ERD131122:ERD131123 FAZ131122:FAZ131123 FKV131122:FKV131123 FUR131122:FUR131123 GEN131122:GEN131123 GOJ131122:GOJ131123 GYF131122:GYF131123 HIB131122:HIB131123 HRX131122:HRX131123 IBT131122:IBT131123 ILP131122:ILP131123 IVL131122:IVL131123 JFH131122:JFH131123 JPD131122:JPD131123 JYZ131122:JYZ131123 KIV131122:KIV131123 KSR131122:KSR131123 LCN131122:LCN131123 LMJ131122:LMJ131123 LWF131122:LWF131123 MGB131122:MGB131123 MPX131122:MPX131123 MZT131122:MZT131123 NJP131122:NJP131123 NTL131122:NTL131123 ODH131122:ODH131123 OND131122:OND131123 OWZ131122:OWZ131123 PGV131122:PGV131123 PQR131122:PQR131123 QAN131122:QAN131123 QKJ131122:QKJ131123 QUF131122:QUF131123 REB131122:REB131123 RNX131122:RNX131123 RXT131122:RXT131123 SHP131122:SHP131123 SRL131122:SRL131123 TBH131122:TBH131123 TLD131122:TLD131123 TUZ131122:TUZ131123 UEV131122:UEV131123 UOR131122:UOR131123 UYN131122:UYN131123 VIJ131122:VIJ131123 VSF131122:VSF131123 WCB131122:WCB131123 WLX131122:WLX131123 WVT131122:WVT131123 L196658:L196659 JH196658:JH196659 TD196658:TD196659 ACZ196658:ACZ196659 AMV196658:AMV196659 AWR196658:AWR196659 BGN196658:BGN196659 BQJ196658:BQJ196659 CAF196658:CAF196659 CKB196658:CKB196659 CTX196658:CTX196659 DDT196658:DDT196659 DNP196658:DNP196659 DXL196658:DXL196659 EHH196658:EHH196659 ERD196658:ERD196659 FAZ196658:FAZ196659 FKV196658:FKV196659 FUR196658:FUR196659 GEN196658:GEN196659 GOJ196658:GOJ196659 GYF196658:GYF196659 HIB196658:HIB196659 HRX196658:HRX196659 IBT196658:IBT196659 ILP196658:ILP196659 IVL196658:IVL196659 JFH196658:JFH196659 JPD196658:JPD196659 JYZ196658:JYZ196659 KIV196658:KIV196659 KSR196658:KSR196659 LCN196658:LCN196659 LMJ196658:LMJ196659 LWF196658:LWF196659 MGB196658:MGB196659 MPX196658:MPX196659 MZT196658:MZT196659 NJP196658:NJP196659 NTL196658:NTL196659 ODH196658:ODH196659 OND196658:OND196659 OWZ196658:OWZ196659 PGV196658:PGV196659 PQR196658:PQR196659 QAN196658:QAN196659 QKJ196658:QKJ196659 QUF196658:QUF196659 REB196658:REB196659 RNX196658:RNX196659 RXT196658:RXT196659 SHP196658:SHP196659 SRL196658:SRL196659 TBH196658:TBH196659 TLD196658:TLD196659 TUZ196658:TUZ196659 UEV196658:UEV196659 UOR196658:UOR196659 UYN196658:UYN196659 VIJ196658:VIJ196659 VSF196658:VSF196659 WCB196658:WCB196659 WLX196658:WLX196659 WVT196658:WVT196659 L262194:L262195 JH262194:JH262195 TD262194:TD262195 ACZ262194:ACZ262195 AMV262194:AMV262195 AWR262194:AWR262195 BGN262194:BGN262195 BQJ262194:BQJ262195 CAF262194:CAF262195 CKB262194:CKB262195 CTX262194:CTX262195 DDT262194:DDT262195 DNP262194:DNP262195 DXL262194:DXL262195 EHH262194:EHH262195 ERD262194:ERD262195 FAZ262194:FAZ262195 FKV262194:FKV262195 FUR262194:FUR262195 GEN262194:GEN262195 GOJ262194:GOJ262195 GYF262194:GYF262195 HIB262194:HIB262195 HRX262194:HRX262195 IBT262194:IBT262195 ILP262194:ILP262195 IVL262194:IVL262195 JFH262194:JFH262195 JPD262194:JPD262195 JYZ262194:JYZ262195 KIV262194:KIV262195 KSR262194:KSR262195 LCN262194:LCN262195 LMJ262194:LMJ262195 LWF262194:LWF262195 MGB262194:MGB262195 MPX262194:MPX262195 MZT262194:MZT262195 NJP262194:NJP262195 NTL262194:NTL262195 ODH262194:ODH262195 OND262194:OND262195 OWZ262194:OWZ262195 PGV262194:PGV262195 PQR262194:PQR262195 QAN262194:QAN262195 QKJ262194:QKJ262195 QUF262194:QUF262195 REB262194:REB262195 RNX262194:RNX262195 RXT262194:RXT262195 SHP262194:SHP262195 SRL262194:SRL262195 TBH262194:TBH262195 TLD262194:TLD262195 TUZ262194:TUZ262195 UEV262194:UEV262195 UOR262194:UOR262195 UYN262194:UYN262195 VIJ262194:VIJ262195 VSF262194:VSF262195 WCB262194:WCB262195 WLX262194:WLX262195 WVT262194:WVT262195 L327730:L327731 JH327730:JH327731 TD327730:TD327731 ACZ327730:ACZ327731 AMV327730:AMV327731 AWR327730:AWR327731 BGN327730:BGN327731 BQJ327730:BQJ327731 CAF327730:CAF327731 CKB327730:CKB327731 CTX327730:CTX327731 DDT327730:DDT327731 DNP327730:DNP327731 DXL327730:DXL327731 EHH327730:EHH327731 ERD327730:ERD327731 FAZ327730:FAZ327731 FKV327730:FKV327731 FUR327730:FUR327731 GEN327730:GEN327731 GOJ327730:GOJ327731 GYF327730:GYF327731 HIB327730:HIB327731 HRX327730:HRX327731 IBT327730:IBT327731 ILP327730:ILP327731 IVL327730:IVL327731 JFH327730:JFH327731 JPD327730:JPD327731 JYZ327730:JYZ327731 KIV327730:KIV327731 KSR327730:KSR327731 LCN327730:LCN327731 LMJ327730:LMJ327731 LWF327730:LWF327731 MGB327730:MGB327731 MPX327730:MPX327731 MZT327730:MZT327731 NJP327730:NJP327731 NTL327730:NTL327731 ODH327730:ODH327731 OND327730:OND327731 OWZ327730:OWZ327731 PGV327730:PGV327731 PQR327730:PQR327731 QAN327730:QAN327731 QKJ327730:QKJ327731 QUF327730:QUF327731 REB327730:REB327731 RNX327730:RNX327731 RXT327730:RXT327731 SHP327730:SHP327731 SRL327730:SRL327731 TBH327730:TBH327731 TLD327730:TLD327731 TUZ327730:TUZ327731 UEV327730:UEV327731 UOR327730:UOR327731 UYN327730:UYN327731 VIJ327730:VIJ327731 VSF327730:VSF327731 WCB327730:WCB327731 WLX327730:WLX327731 WVT327730:WVT327731 L393266:L393267 JH393266:JH393267 TD393266:TD393267 ACZ393266:ACZ393267 AMV393266:AMV393267 AWR393266:AWR393267 BGN393266:BGN393267 BQJ393266:BQJ393267 CAF393266:CAF393267 CKB393266:CKB393267 CTX393266:CTX393267 DDT393266:DDT393267 DNP393266:DNP393267 DXL393266:DXL393267 EHH393266:EHH393267 ERD393266:ERD393267 FAZ393266:FAZ393267 FKV393266:FKV393267 FUR393266:FUR393267 GEN393266:GEN393267 GOJ393266:GOJ393267 GYF393266:GYF393267 HIB393266:HIB393267 HRX393266:HRX393267 IBT393266:IBT393267 ILP393266:ILP393267 IVL393266:IVL393267 JFH393266:JFH393267 JPD393266:JPD393267 JYZ393266:JYZ393267 KIV393266:KIV393267 KSR393266:KSR393267 LCN393266:LCN393267 LMJ393266:LMJ393267 LWF393266:LWF393267 MGB393266:MGB393267 MPX393266:MPX393267 MZT393266:MZT393267 NJP393266:NJP393267 NTL393266:NTL393267 ODH393266:ODH393267 OND393266:OND393267 OWZ393266:OWZ393267 PGV393266:PGV393267 PQR393266:PQR393267 QAN393266:QAN393267 QKJ393266:QKJ393267 QUF393266:QUF393267 REB393266:REB393267 RNX393266:RNX393267 RXT393266:RXT393267 SHP393266:SHP393267 SRL393266:SRL393267 TBH393266:TBH393267 TLD393266:TLD393267 TUZ393266:TUZ393267 UEV393266:UEV393267 UOR393266:UOR393267 UYN393266:UYN393267 VIJ393266:VIJ393267 VSF393266:VSF393267 WCB393266:WCB393267 WLX393266:WLX393267 WVT393266:WVT393267 L458802:L458803 JH458802:JH458803 TD458802:TD458803 ACZ458802:ACZ458803 AMV458802:AMV458803 AWR458802:AWR458803 BGN458802:BGN458803 BQJ458802:BQJ458803 CAF458802:CAF458803 CKB458802:CKB458803 CTX458802:CTX458803 DDT458802:DDT458803 DNP458802:DNP458803 DXL458802:DXL458803 EHH458802:EHH458803 ERD458802:ERD458803 FAZ458802:FAZ458803 FKV458802:FKV458803 FUR458802:FUR458803 GEN458802:GEN458803 GOJ458802:GOJ458803 GYF458802:GYF458803 HIB458802:HIB458803 HRX458802:HRX458803 IBT458802:IBT458803 ILP458802:ILP458803 IVL458802:IVL458803 JFH458802:JFH458803 JPD458802:JPD458803 JYZ458802:JYZ458803 KIV458802:KIV458803 KSR458802:KSR458803 LCN458802:LCN458803 LMJ458802:LMJ458803 LWF458802:LWF458803 MGB458802:MGB458803 MPX458802:MPX458803 MZT458802:MZT458803 NJP458802:NJP458803 NTL458802:NTL458803 ODH458802:ODH458803 OND458802:OND458803 OWZ458802:OWZ458803 PGV458802:PGV458803 PQR458802:PQR458803 QAN458802:QAN458803 QKJ458802:QKJ458803 QUF458802:QUF458803 REB458802:REB458803 RNX458802:RNX458803 RXT458802:RXT458803 SHP458802:SHP458803 SRL458802:SRL458803 TBH458802:TBH458803 TLD458802:TLD458803 TUZ458802:TUZ458803 UEV458802:UEV458803 UOR458802:UOR458803 UYN458802:UYN458803 VIJ458802:VIJ458803 VSF458802:VSF458803 WCB458802:WCB458803 WLX458802:WLX458803 WVT458802:WVT458803 L524338:L524339 JH524338:JH524339 TD524338:TD524339 ACZ524338:ACZ524339 AMV524338:AMV524339 AWR524338:AWR524339 BGN524338:BGN524339 BQJ524338:BQJ524339 CAF524338:CAF524339 CKB524338:CKB524339 CTX524338:CTX524339 DDT524338:DDT524339 DNP524338:DNP524339 DXL524338:DXL524339 EHH524338:EHH524339 ERD524338:ERD524339 FAZ524338:FAZ524339 FKV524338:FKV524339 FUR524338:FUR524339 GEN524338:GEN524339 GOJ524338:GOJ524339 GYF524338:GYF524339 HIB524338:HIB524339 HRX524338:HRX524339 IBT524338:IBT524339 ILP524338:ILP524339 IVL524338:IVL524339 JFH524338:JFH524339 JPD524338:JPD524339 JYZ524338:JYZ524339 KIV524338:KIV524339 KSR524338:KSR524339 LCN524338:LCN524339 LMJ524338:LMJ524339 LWF524338:LWF524339 MGB524338:MGB524339 MPX524338:MPX524339 MZT524338:MZT524339 NJP524338:NJP524339 NTL524338:NTL524339 ODH524338:ODH524339 OND524338:OND524339 OWZ524338:OWZ524339 PGV524338:PGV524339 PQR524338:PQR524339 QAN524338:QAN524339 QKJ524338:QKJ524339 QUF524338:QUF524339 REB524338:REB524339 RNX524338:RNX524339 RXT524338:RXT524339 SHP524338:SHP524339 SRL524338:SRL524339 TBH524338:TBH524339 TLD524338:TLD524339 TUZ524338:TUZ524339 UEV524338:UEV524339 UOR524338:UOR524339 UYN524338:UYN524339 VIJ524338:VIJ524339 VSF524338:VSF524339 WCB524338:WCB524339 WLX524338:WLX524339 WVT524338:WVT524339 L589874:L589875 JH589874:JH589875 TD589874:TD589875 ACZ589874:ACZ589875 AMV589874:AMV589875 AWR589874:AWR589875 BGN589874:BGN589875 BQJ589874:BQJ589875 CAF589874:CAF589875 CKB589874:CKB589875 CTX589874:CTX589875 DDT589874:DDT589875 DNP589874:DNP589875 DXL589874:DXL589875 EHH589874:EHH589875 ERD589874:ERD589875 FAZ589874:FAZ589875 FKV589874:FKV589875 FUR589874:FUR589875 GEN589874:GEN589875 GOJ589874:GOJ589875 GYF589874:GYF589875 HIB589874:HIB589875 HRX589874:HRX589875 IBT589874:IBT589875 ILP589874:ILP589875 IVL589874:IVL589875 JFH589874:JFH589875 JPD589874:JPD589875 JYZ589874:JYZ589875 KIV589874:KIV589875 KSR589874:KSR589875 LCN589874:LCN589875 LMJ589874:LMJ589875 LWF589874:LWF589875 MGB589874:MGB589875 MPX589874:MPX589875 MZT589874:MZT589875 NJP589874:NJP589875 NTL589874:NTL589875 ODH589874:ODH589875 OND589874:OND589875 OWZ589874:OWZ589875 PGV589874:PGV589875 PQR589874:PQR589875 QAN589874:QAN589875 QKJ589874:QKJ589875 QUF589874:QUF589875 REB589874:REB589875 RNX589874:RNX589875 RXT589874:RXT589875 SHP589874:SHP589875 SRL589874:SRL589875 TBH589874:TBH589875 TLD589874:TLD589875 TUZ589874:TUZ589875 UEV589874:UEV589875 UOR589874:UOR589875 UYN589874:UYN589875 VIJ589874:VIJ589875 VSF589874:VSF589875 WCB589874:WCB589875 WLX589874:WLX589875 WVT589874:WVT589875 L655410:L655411 JH655410:JH655411 TD655410:TD655411 ACZ655410:ACZ655411 AMV655410:AMV655411 AWR655410:AWR655411 BGN655410:BGN655411 BQJ655410:BQJ655411 CAF655410:CAF655411 CKB655410:CKB655411 CTX655410:CTX655411 DDT655410:DDT655411 DNP655410:DNP655411 DXL655410:DXL655411 EHH655410:EHH655411 ERD655410:ERD655411 FAZ655410:FAZ655411 FKV655410:FKV655411 FUR655410:FUR655411 GEN655410:GEN655411 GOJ655410:GOJ655411 GYF655410:GYF655411 HIB655410:HIB655411 HRX655410:HRX655411 IBT655410:IBT655411 ILP655410:ILP655411 IVL655410:IVL655411 JFH655410:JFH655411 JPD655410:JPD655411 JYZ655410:JYZ655411 KIV655410:KIV655411 KSR655410:KSR655411 LCN655410:LCN655411 LMJ655410:LMJ655411 LWF655410:LWF655411 MGB655410:MGB655411 MPX655410:MPX655411 MZT655410:MZT655411 NJP655410:NJP655411 NTL655410:NTL655411 ODH655410:ODH655411 OND655410:OND655411 OWZ655410:OWZ655411 PGV655410:PGV655411 PQR655410:PQR655411 QAN655410:QAN655411 QKJ655410:QKJ655411 QUF655410:QUF655411 REB655410:REB655411 RNX655410:RNX655411 RXT655410:RXT655411 SHP655410:SHP655411 SRL655410:SRL655411 TBH655410:TBH655411 TLD655410:TLD655411 TUZ655410:TUZ655411 UEV655410:UEV655411 UOR655410:UOR655411 UYN655410:UYN655411 VIJ655410:VIJ655411 VSF655410:VSF655411 WCB655410:WCB655411 WLX655410:WLX655411 WVT655410:WVT655411 L720946:L720947 JH720946:JH720947 TD720946:TD720947 ACZ720946:ACZ720947 AMV720946:AMV720947 AWR720946:AWR720947 BGN720946:BGN720947 BQJ720946:BQJ720947 CAF720946:CAF720947 CKB720946:CKB720947 CTX720946:CTX720947 DDT720946:DDT720947 DNP720946:DNP720947 DXL720946:DXL720947 EHH720946:EHH720947 ERD720946:ERD720947 FAZ720946:FAZ720947 FKV720946:FKV720947 FUR720946:FUR720947 GEN720946:GEN720947 GOJ720946:GOJ720947 GYF720946:GYF720947 HIB720946:HIB720947 HRX720946:HRX720947 IBT720946:IBT720947 ILP720946:ILP720947 IVL720946:IVL720947 JFH720946:JFH720947 JPD720946:JPD720947 JYZ720946:JYZ720947 KIV720946:KIV720947 KSR720946:KSR720947 LCN720946:LCN720947 LMJ720946:LMJ720947 LWF720946:LWF720947 MGB720946:MGB720947 MPX720946:MPX720947 MZT720946:MZT720947 NJP720946:NJP720947 NTL720946:NTL720947 ODH720946:ODH720947 OND720946:OND720947 OWZ720946:OWZ720947 PGV720946:PGV720947 PQR720946:PQR720947 QAN720946:QAN720947 QKJ720946:QKJ720947 QUF720946:QUF720947 REB720946:REB720947 RNX720946:RNX720947 RXT720946:RXT720947 SHP720946:SHP720947 SRL720946:SRL720947 TBH720946:TBH720947 TLD720946:TLD720947 TUZ720946:TUZ720947 UEV720946:UEV720947 UOR720946:UOR720947 UYN720946:UYN720947 VIJ720946:VIJ720947 VSF720946:VSF720947 WCB720946:WCB720947 WLX720946:WLX720947 WVT720946:WVT720947 L786482:L786483 JH786482:JH786483 TD786482:TD786483 ACZ786482:ACZ786483 AMV786482:AMV786483 AWR786482:AWR786483 BGN786482:BGN786483 BQJ786482:BQJ786483 CAF786482:CAF786483 CKB786482:CKB786483 CTX786482:CTX786483 DDT786482:DDT786483 DNP786482:DNP786483 DXL786482:DXL786483 EHH786482:EHH786483 ERD786482:ERD786483 FAZ786482:FAZ786483 FKV786482:FKV786483 FUR786482:FUR786483 GEN786482:GEN786483 GOJ786482:GOJ786483 GYF786482:GYF786483 HIB786482:HIB786483 HRX786482:HRX786483 IBT786482:IBT786483 ILP786482:ILP786483 IVL786482:IVL786483 JFH786482:JFH786483 JPD786482:JPD786483 JYZ786482:JYZ786483 KIV786482:KIV786483 KSR786482:KSR786483 LCN786482:LCN786483 LMJ786482:LMJ786483 LWF786482:LWF786483 MGB786482:MGB786483 MPX786482:MPX786483 MZT786482:MZT786483 NJP786482:NJP786483 NTL786482:NTL786483 ODH786482:ODH786483 OND786482:OND786483 OWZ786482:OWZ786483 PGV786482:PGV786483 PQR786482:PQR786483 QAN786482:QAN786483 QKJ786482:QKJ786483 QUF786482:QUF786483 REB786482:REB786483 RNX786482:RNX786483 RXT786482:RXT786483 SHP786482:SHP786483 SRL786482:SRL786483 TBH786482:TBH786483 TLD786482:TLD786483 TUZ786482:TUZ786483 UEV786482:UEV786483 UOR786482:UOR786483 UYN786482:UYN786483 VIJ786482:VIJ786483 VSF786482:VSF786483 WCB786482:WCB786483 WLX786482:WLX786483 WVT786482:WVT786483 L852018:L852019 JH852018:JH852019 TD852018:TD852019 ACZ852018:ACZ852019 AMV852018:AMV852019 AWR852018:AWR852019 BGN852018:BGN852019 BQJ852018:BQJ852019 CAF852018:CAF852019 CKB852018:CKB852019 CTX852018:CTX852019 DDT852018:DDT852019 DNP852018:DNP852019 DXL852018:DXL852019 EHH852018:EHH852019 ERD852018:ERD852019 FAZ852018:FAZ852019 FKV852018:FKV852019 FUR852018:FUR852019 GEN852018:GEN852019 GOJ852018:GOJ852019 GYF852018:GYF852019 HIB852018:HIB852019 HRX852018:HRX852019 IBT852018:IBT852019 ILP852018:ILP852019 IVL852018:IVL852019 JFH852018:JFH852019 JPD852018:JPD852019 JYZ852018:JYZ852019 KIV852018:KIV852019 KSR852018:KSR852019 LCN852018:LCN852019 LMJ852018:LMJ852019 LWF852018:LWF852019 MGB852018:MGB852019 MPX852018:MPX852019 MZT852018:MZT852019 NJP852018:NJP852019 NTL852018:NTL852019 ODH852018:ODH852019 OND852018:OND852019 OWZ852018:OWZ852019 PGV852018:PGV852019 PQR852018:PQR852019 QAN852018:QAN852019 QKJ852018:QKJ852019 QUF852018:QUF852019 REB852018:REB852019 RNX852018:RNX852019 RXT852018:RXT852019 SHP852018:SHP852019 SRL852018:SRL852019 TBH852018:TBH852019 TLD852018:TLD852019 TUZ852018:TUZ852019 UEV852018:UEV852019 UOR852018:UOR852019 UYN852018:UYN852019 VIJ852018:VIJ852019 VSF852018:VSF852019 WCB852018:WCB852019 WLX852018:WLX852019 WVT852018:WVT852019 L917554:L917555 JH917554:JH917555 TD917554:TD917555 ACZ917554:ACZ917555 AMV917554:AMV917555 AWR917554:AWR917555 BGN917554:BGN917555 BQJ917554:BQJ917555 CAF917554:CAF917555 CKB917554:CKB917555 CTX917554:CTX917555 DDT917554:DDT917555 DNP917554:DNP917555 DXL917554:DXL917555 EHH917554:EHH917555 ERD917554:ERD917555 FAZ917554:FAZ917555 FKV917554:FKV917555 FUR917554:FUR917555 GEN917554:GEN917555 GOJ917554:GOJ917555 GYF917554:GYF917555 HIB917554:HIB917555 HRX917554:HRX917555 IBT917554:IBT917555 ILP917554:ILP917555 IVL917554:IVL917555 JFH917554:JFH917555 JPD917554:JPD917555 JYZ917554:JYZ917555 KIV917554:KIV917555 KSR917554:KSR917555 LCN917554:LCN917555 LMJ917554:LMJ917555 LWF917554:LWF917555 MGB917554:MGB917555 MPX917554:MPX917555 MZT917554:MZT917555 NJP917554:NJP917555 NTL917554:NTL917555 ODH917554:ODH917555 OND917554:OND917555 OWZ917554:OWZ917555 PGV917554:PGV917555 PQR917554:PQR917555 QAN917554:QAN917555 QKJ917554:QKJ917555 QUF917554:QUF917555 REB917554:REB917555 RNX917554:RNX917555 RXT917554:RXT917555 SHP917554:SHP917555 SRL917554:SRL917555 TBH917554:TBH917555 TLD917554:TLD917555 TUZ917554:TUZ917555 UEV917554:UEV917555 UOR917554:UOR917555 UYN917554:UYN917555 VIJ917554:VIJ917555 VSF917554:VSF917555 WCB917554:WCB917555 WLX917554:WLX917555 WVT917554:WVT917555 L983090:L983091 JH983090:JH983091 TD983090:TD983091 ACZ983090:ACZ983091 AMV983090:AMV983091 AWR983090:AWR983091 BGN983090:BGN983091 BQJ983090:BQJ983091 CAF983090:CAF983091 CKB983090:CKB983091 CTX983090:CTX983091 DDT983090:DDT983091 DNP983090:DNP983091 DXL983090:DXL983091 EHH983090:EHH983091 ERD983090:ERD983091 FAZ983090:FAZ983091 FKV983090:FKV983091 FUR983090:FUR983091 GEN983090:GEN983091 GOJ983090:GOJ983091 GYF983090:GYF983091 HIB983090:HIB983091 HRX983090:HRX983091 IBT983090:IBT983091 ILP983090:ILP983091 IVL983090:IVL983091 JFH983090:JFH983091 JPD983090:JPD983091 JYZ983090:JYZ983091 KIV983090:KIV983091 KSR983090:KSR983091 LCN983090:LCN983091 LMJ983090:LMJ983091 LWF983090:LWF983091 MGB983090:MGB983091 MPX983090:MPX983091 MZT983090:MZT983091 NJP983090:NJP983091 NTL983090:NTL983091 ODH983090:ODH983091 OND983090:OND983091 OWZ983090:OWZ983091 PGV983090:PGV983091 PQR983090:PQR983091 QAN983090:QAN983091 QKJ983090:QKJ983091 QUF983090:QUF983091 REB983090:REB983091 RNX983090:RNX983091 RXT983090:RXT983091 SHP983090:SHP983091 SRL983090:SRL983091 TBH983090:TBH983091 TLD983090:TLD983091 TUZ983090:TUZ983091 UEV983090:UEV983091 UOR983090:UOR983091 UYN983090:UYN983091 VIJ983090:VIJ983091 VSF983090:VSF983091 WCB983090:WCB983091 WLX983090:WLX983091 WVT983090:WVT983091 WVT53 WLX53 WCB53 VSF53 VIJ53 UYN53 UOR53 UEV53 TUZ53 TLD53 TBH53 SRL53 SHP53 RXT53 RNX53 REB53 QUF53 QKJ53 QAN53 PQR53 PGV53 OWZ53 OND53 ODH53 NTL53 NJP53 MZT53 MPX53 MGB53 LWF53 LMJ53 LCN53 KSR53 KIV53 JYZ53 JPD53 JFH53 IVL53 ILP53 IBT53 HRX53 HIB53 GYF53 GOJ53 GEN53 FUR53 FKV53 FAZ53 ERD53 EHH53 DXL53 DNP53 DDT53 CTX53 CKB53 CAF53 BQJ53 BGN53 AWR53 AMV53 ACZ53 TD53 JH53 L53" xr:uid="{73A76EF2-3E91-41B5-8377-FEC075629242}">
      <formula1>0</formula1>
      <formula2>0.03</formula2>
    </dataValidation>
    <dataValidation type="whole" allowBlank="1" showInputMessage="1" showErrorMessage="1" error="U moet een geheel aantal jaren met een maximum van 20 jaar invullen." sqref="B118:C118" xr:uid="{048F095C-1B2B-4520-8F9F-A2AE4CFD612B}">
      <formula1>1</formula1>
      <formula2>$B12</formula2>
    </dataValidation>
    <dataValidation type="whole" allowBlank="1" showInputMessage="1" showErrorMessage="1" error="U moet hier een geheel aantal jaren met een maximum van de subsidielooptijd invullen." sqref="E34" xr:uid="{F6B01555-9CBB-40F3-994A-77E5085A0F2E}">
      <formula1>0</formula1>
      <formula2>$B$12</formula2>
    </dataValidation>
  </dataValidations>
  <pageMargins left="0.7" right="0.7" top="0.75" bottom="0.75" header="0.3" footer="0.3"/>
  <pageSetup paperSize="9" orientation="portrait" r:id="rId1"/>
  <ignoredErrors>
    <ignoredError sqref="H60 W79:W90 W70:W71 Z70:AB70 X70:X71 Y70:Y71 Z71:AA71 AH70:AH71 AG70:AG71 AF70:AF71 AE70:AE71 AD70:AD71 AC70:AC71 AB71 X79:AH89 X90:Z90 AA90:AH90 W78:AH78 H58 H49" unlockedFormula="1"/>
    <ignoredError sqref="B34 B31 E31 H31 L31 O125:O144 P125:W144 X127:Z127 AA127:AC127 AA133 AA143:AC143 N149:W149 O154:W154 AA144 AA149 AA154 X131:Z132 AA130 X143:Z143 AA141 AA142 X138:Z140 AA137 X136:Z136 AA136:AC136 AA135 X129:Z129 AA129:AC129 AA128 AA134 AA125 AA126" evalError="1"/>
  </ignoredErrors>
  <drawing r:id="rId2"/>
  <legacyDrawing r:id="rId3"/>
  <mc:AlternateContent xmlns:mc="http://schemas.openxmlformats.org/markup-compatibility/2006">
    <mc:Choice Requires="x14">
      <controls>
        <mc:AlternateContent xmlns:mc="http://schemas.openxmlformats.org/markup-compatibility/2006">
          <mc:Choice Requires="x14">
            <control shapeId="4097" r:id="rId4" name="List Box 1">
              <controlPr defaultSize="0" autoLine="0" autoPict="0">
                <anchor moveWithCells="1" sizeWithCells="1">
                  <from>
                    <xdr:col>7</xdr:col>
                    <xdr:colOff>19050</xdr:colOff>
                    <xdr:row>32</xdr:row>
                    <xdr:rowOff>152400</xdr:rowOff>
                  </from>
                  <to>
                    <xdr:col>10</xdr:col>
                    <xdr:colOff>9525</xdr:colOff>
                    <xdr:row>34</xdr:row>
                    <xdr:rowOff>123825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8" id="{8068B790-8341-42C5-8486-3E38B712D5C3}">
            <xm:f>OR(Hulpblad_categorieën_parameters!D25="Zon-PV",Hulpblad_categorieën_parameters!D25="Wind")</xm:f>
            <x14:dxf>
              <border>
                <left style="thin">
                  <color auto="1"/>
                </left>
                <right style="thin">
                  <color auto="1"/>
                </right>
                <bottom style="thin">
                  <color auto="1"/>
                </bottom>
                <vertical/>
                <horizontal/>
              </border>
            </x14:dxf>
          </x14:cfRule>
          <xm:sqref>E55</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77880C-9D8F-421B-B3F3-A2380F56FA79}">
  <dimension ref="A1:P146"/>
  <sheetViews>
    <sheetView workbookViewId="0">
      <selection activeCell="A52" sqref="A52"/>
    </sheetView>
  </sheetViews>
  <sheetFormatPr defaultColWidth="8.7109375" defaultRowHeight="15" x14ac:dyDescent="0.25"/>
  <cols>
    <col min="1" max="1" width="132.28515625" style="4" customWidth="1"/>
    <col min="2" max="2" width="86.7109375" style="30" customWidth="1"/>
    <col min="3" max="3" width="3.42578125" style="30" customWidth="1"/>
    <col min="4" max="4" width="14" style="4" bestFit="1" customWidth="1"/>
    <col min="5" max="5" width="90.7109375" style="4" customWidth="1"/>
    <col min="6" max="11" width="12.7109375" style="4" customWidth="1"/>
    <col min="12" max="12" width="13.7109375" style="4" customWidth="1"/>
    <col min="13" max="13" width="12.42578125" style="4" customWidth="1"/>
    <col min="14" max="256" width="8.7109375" style="4"/>
    <col min="257" max="257" width="132.28515625" style="4" customWidth="1"/>
    <col min="258" max="258" width="86.7109375" style="4" customWidth="1"/>
    <col min="259" max="259" width="3.42578125" style="4" customWidth="1"/>
    <col min="260" max="260" width="14" style="4" bestFit="1" customWidth="1"/>
    <col min="261" max="261" width="90.7109375" style="4" customWidth="1"/>
    <col min="262" max="267" width="12.7109375" style="4" customWidth="1"/>
    <col min="268" max="268" width="13.7109375" style="4" customWidth="1"/>
    <col min="269" max="269" width="12.42578125" style="4" customWidth="1"/>
    <col min="270" max="512" width="8.7109375" style="4"/>
    <col min="513" max="513" width="132.28515625" style="4" customWidth="1"/>
    <col min="514" max="514" width="86.7109375" style="4" customWidth="1"/>
    <col min="515" max="515" width="3.42578125" style="4" customWidth="1"/>
    <col min="516" max="516" width="14" style="4" bestFit="1" customWidth="1"/>
    <col min="517" max="517" width="90.7109375" style="4" customWidth="1"/>
    <col min="518" max="523" width="12.7109375" style="4" customWidth="1"/>
    <col min="524" max="524" width="13.7109375" style="4" customWidth="1"/>
    <col min="525" max="525" width="12.42578125" style="4" customWidth="1"/>
    <col min="526" max="768" width="8.7109375" style="4"/>
    <col min="769" max="769" width="132.28515625" style="4" customWidth="1"/>
    <col min="770" max="770" width="86.7109375" style="4" customWidth="1"/>
    <col min="771" max="771" width="3.42578125" style="4" customWidth="1"/>
    <col min="772" max="772" width="14" style="4" bestFit="1" customWidth="1"/>
    <col min="773" max="773" width="90.7109375" style="4" customWidth="1"/>
    <col min="774" max="779" width="12.7109375" style="4" customWidth="1"/>
    <col min="780" max="780" width="13.7109375" style="4" customWidth="1"/>
    <col min="781" max="781" width="12.42578125" style="4" customWidth="1"/>
    <col min="782" max="1024" width="8.7109375" style="4"/>
    <col min="1025" max="1025" width="132.28515625" style="4" customWidth="1"/>
    <col min="1026" max="1026" width="86.7109375" style="4" customWidth="1"/>
    <col min="1027" max="1027" width="3.42578125" style="4" customWidth="1"/>
    <col min="1028" max="1028" width="14" style="4" bestFit="1" customWidth="1"/>
    <col min="1029" max="1029" width="90.7109375" style="4" customWidth="1"/>
    <col min="1030" max="1035" width="12.7109375" style="4" customWidth="1"/>
    <col min="1036" max="1036" width="13.7109375" style="4" customWidth="1"/>
    <col min="1037" max="1037" width="12.42578125" style="4" customWidth="1"/>
    <col min="1038" max="1280" width="8.7109375" style="4"/>
    <col min="1281" max="1281" width="132.28515625" style="4" customWidth="1"/>
    <col min="1282" max="1282" width="86.7109375" style="4" customWidth="1"/>
    <col min="1283" max="1283" width="3.42578125" style="4" customWidth="1"/>
    <col min="1284" max="1284" width="14" style="4" bestFit="1" customWidth="1"/>
    <col min="1285" max="1285" width="90.7109375" style="4" customWidth="1"/>
    <col min="1286" max="1291" width="12.7109375" style="4" customWidth="1"/>
    <col min="1292" max="1292" width="13.7109375" style="4" customWidth="1"/>
    <col min="1293" max="1293" width="12.42578125" style="4" customWidth="1"/>
    <col min="1294" max="1536" width="8.7109375" style="4"/>
    <col min="1537" max="1537" width="132.28515625" style="4" customWidth="1"/>
    <col min="1538" max="1538" width="86.7109375" style="4" customWidth="1"/>
    <col min="1539" max="1539" width="3.42578125" style="4" customWidth="1"/>
    <col min="1540" max="1540" width="14" style="4" bestFit="1" customWidth="1"/>
    <col min="1541" max="1541" width="90.7109375" style="4" customWidth="1"/>
    <col min="1542" max="1547" width="12.7109375" style="4" customWidth="1"/>
    <col min="1548" max="1548" width="13.7109375" style="4" customWidth="1"/>
    <col min="1549" max="1549" width="12.42578125" style="4" customWidth="1"/>
    <col min="1550" max="1792" width="8.7109375" style="4"/>
    <col min="1793" max="1793" width="132.28515625" style="4" customWidth="1"/>
    <col min="1794" max="1794" width="86.7109375" style="4" customWidth="1"/>
    <col min="1795" max="1795" width="3.42578125" style="4" customWidth="1"/>
    <col min="1796" max="1796" width="14" style="4" bestFit="1" customWidth="1"/>
    <col min="1797" max="1797" width="90.7109375" style="4" customWidth="1"/>
    <col min="1798" max="1803" width="12.7109375" style="4" customWidth="1"/>
    <col min="1804" max="1804" width="13.7109375" style="4" customWidth="1"/>
    <col min="1805" max="1805" width="12.42578125" style="4" customWidth="1"/>
    <col min="1806" max="2048" width="8.7109375" style="4"/>
    <col min="2049" max="2049" width="132.28515625" style="4" customWidth="1"/>
    <col min="2050" max="2050" width="86.7109375" style="4" customWidth="1"/>
    <col min="2051" max="2051" width="3.42578125" style="4" customWidth="1"/>
    <col min="2052" max="2052" width="14" style="4" bestFit="1" customWidth="1"/>
    <col min="2053" max="2053" width="90.7109375" style="4" customWidth="1"/>
    <col min="2054" max="2059" width="12.7109375" style="4" customWidth="1"/>
    <col min="2060" max="2060" width="13.7109375" style="4" customWidth="1"/>
    <col min="2061" max="2061" width="12.42578125" style="4" customWidth="1"/>
    <col min="2062" max="2304" width="8.7109375" style="4"/>
    <col min="2305" max="2305" width="132.28515625" style="4" customWidth="1"/>
    <col min="2306" max="2306" width="86.7109375" style="4" customWidth="1"/>
    <col min="2307" max="2307" width="3.42578125" style="4" customWidth="1"/>
    <col min="2308" max="2308" width="14" style="4" bestFit="1" customWidth="1"/>
    <col min="2309" max="2309" width="90.7109375" style="4" customWidth="1"/>
    <col min="2310" max="2315" width="12.7109375" style="4" customWidth="1"/>
    <col min="2316" max="2316" width="13.7109375" style="4" customWidth="1"/>
    <col min="2317" max="2317" width="12.42578125" style="4" customWidth="1"/>
    <col min="2318" max="2560" width="8.7109375" style="4"/>
    <col min="2561" max="2561" width="132.28515625" style="4" customWidth="1"/>
    <col min="2562" max="2562" width="86.7109375" style="4" customWidth="1"/>
    <col min="2563" max="2563" width="3.42578125" style="4" customWidth="1"/>
    <col min="2564" max="2564" width="14" style="4" bestFit="1" customWidth="1"/>
    <col min="2565" max="2565" width="90.7109375" style="4" customWidth="1"/>
    <col min="2566" max="2571" width="12.7109375" style="4" customWidth="1"/>
    <col min="2572" max="2572" width="13.7109375" style="4" customWidth="1"/>
    <col min="2573" max="2573" width="12.42578125" style="4" customWidth="1"/>
    <col min="2574" max="2816" width="8.7109375" style="4"/>
    <col min="2817" max="2817" width="132.28515625" style="4" customWidth="1"/>
    <col min="2818" max="2818" width="86.7109375" style="4" customWidth="1"/>
    <col min="2819" max="2819" width="3.42578125" style="4" customWidth="1"/>
    <col min="2820" max="2820" width="14" style="4" bestFit="1" customWidth="1"/>
    <col min="2821" max="2821" width="90.7109375" style="4" customWidth="1"/>
    <col min="2822" max="2827" width="12.7109375" style="4" customWidth="1"/>
    <col min="2828" max="2828" width="13.7109375" style="4" customWidth="1"/>
    <col min="2829" max="2829" width="12.42578125" style="4" customWidth="1"/>
    <col min="2830" max="3072" width="8.7109375" style="4"/>
    <col min="3073" max="3073" width="132.28515625" style="4" customWidth="1"/>
    <col min="3074" max="3074" width="86.7109375" style="4" customWidth="1"/>
    <col min="3075" max="3075" width="3.42578125" style="4" customWidth="1"/>
    <col min="3076" max="3076" width="14" style="4" bestFit="1" customWidth="1"/>
    <col min="3077" max="3077" width="90.7109375" style="4" customWidth="1"/>
    <col min="3078" max="3083" width="12.7109375" style="4" customWidth="1"/>
    <col min="3084" max="3084" width="13.7109375" style="4" customWidth="1"/>
    <col min="3085" max="3085" width="12.42578125" style="4" customWidth="1"/>
    <col min="3086" max="3328" width="8.7109375" style="4"/>
    <col min="3329" max="3329" width="132.28515625" style="4" customWidth="1"/>
    <col min="3330" max="3330" width="86.7109375" style="4" customWidth="1"/>
    <col min="3331" max="3331" width="3.42578125" style="4" customWidth="1"/>
    <col min="3332" max="3332" width="14" style="4" bestFit="1" customWidth="1"/>
    <col min="3333" max="3333" width="90.7109375" style="4" customWidth="1"/>
    <col min="3334" max="3339" width="12.7109375" style="4" customWidth="1"/>
    <col min="3340" max="3340" width="13.7109375" style="4" customWidth="1"/>
    <col min="3341" max="3341" width="12.42578125" style="4" customWidth="1"/>
    <col min="3342" max="3584" width="8.7109375" style="4"/>
    <col min="3585" max="3585" width="132.28515625" style="4" customWidth="1"/>
    <col min="3586" max="3586" width="86.7109375" style="4" customWidth="1"/>
    <col min="3587" max="3587" width="3.42578125" style="4" customWidth="1"/>
    <col min="3588" max="3588" width="14" style="4" bestFit="1" customWidth="1"/>
    <col min="3589" max="3589" width="90.7109375" style="4" customWidth="1"/>
    <col min="3590" max="3595" width="12.7109375" style="4" customWidth="1"/>
    <col min="3596" max="3596" width="13.7109375" style="4" customWidth="1"/>
    <col min="3597" max="3597" width="12.42578125" style="4" customWidth="1"/>
    <col min="3598" max="3840" width="8.7109375" style="4"/>
    <col min="3841" max="3841" width="132.28515625" style="4" customWidth="1"/>
    <col min="3842" max="3842" width="86.7109375" style="4" customWidth="1"/>
    <col min="3843" max="3843" width="3.42578125" style="4" customWidth="1"/>
    <col min="3844" max="3844" width="14" style="4" bestFit="1" customWidth="1"/>
    <col min="3845" max="3845" width="90.7109375" style="4" customWidth="1"/>
    <col min="3846" max="3851" width="12.7109375" style="4" customWidth="1"/>
    <col min="3852" max="3852" width="13.7109375" style="4" customWidth="1"/>
    <col min="3853" max="3853" width="12.42578125" style="4" customWidth="1"/>
    <col min="3854" max="4096" width="8.7109375" style="4"/>
    <col min="4097" max="4097" width="132.28515625" style="4" customWidth="1"/>
    <col min="4098" max="4098" width="86.7109375" style="4" customWidth="1"/>
    <col min="4099" max="4099" width="3.42578125" style="4" customWidth="1"/>
    <col min="4100" max="4100" width="14" style="4" bestFit="1" customWidth="1"/>
    <col min="4101" max="4101" width="90.7109375" style="4" customWidth="1"/>
    <col min="4102" max="4107" width="12.7109375" style="4" customWidth="1"/>
    <col min="4108" max="4108" width="13.7109375" style="4" customWidth="1"/>
    <col min="4109" max="4109" width="12.42578125" style="4" customWidth="1"/>
    <col min="4110" max="4352" width="8.7109375" style="4"/>
    <col min="4353" max="4353" width="132.28515625" style="4" customWidth="1"/>
    <col min="4354" max="4354" width="86.7109375" style="4" customWidth="1"/>
    <col min="4355" max="4355" width="3.42578125" style="4" customWidth="1"/>
    <col min="4356" max="4356" width="14" style="4" bestFit="1" customWidth="1"/>
    <col min="4357" max="4357" width="90.7109375" style="4" customWidth="1"/>
    <col min="4358" max="4363" width="12.7109375" style="4" customWidth="1"/>
    <col min="4364" max="4364" width="13.7109375" style="4" customWidth="1"/>
    <col min="4365" max="4365" width="12.42578125" style="4" customWidth="1"/>
    <col min="4366" max="4608" width="8.7109375" style="4"/>
    <col min="4609" max="4609" width="132.28515625" style="4" customWidth="1"/>
    <col min="4610" max="4610" width="86.7109375" style="4" customWidth="1"/>
    <col min="4611" max="4611" width="3.42578125" style="4" customWidth="1"/>
    <col min="4612" max="4612" width="14" style="4" bestFit="1" customWidth="1"/>
    <col min="4613" max="4613" width="90.7109375" style="4" customWidth="1"/>
    <col min="4614" max="4619" width="12.7109375" style="4" customWidth="1"/>
    <col min="4620" max="4620" width="13.7109375" style="4" customWidth="1"/>
    <col min="4621" max="4621" width="12.42578125" style="4" customWidth="1"/>
    <col min="4622" max="4864" width="8.7109375" style="4"/>
    <col min="4865" max="4865" width="132.28515625" style="4" customWidth="1"/>
    <col min="4866" max="4866" width="86.7109375" style="4" customWidth="1"/>
    <col min="4867" max="4867" width="3.42578125" style="4" customWidth="1"/>
    <col min="4868" max="4868" width="14" style="4" bestFit="1" customWidth="1"/>
    <col min="4869" max="4869" width="90.7109375" style="4" customWidth="1"/>
    <col min="4870" max="4875" width="12.7109375" style="4" customWidth="1"/>
    <col min="4876" max="4876" width="13.7109375" style="4" customWidth="1"/>
    <col min="4877" max="4877" width="12.42578125" style="4" customWidth="1"/>
    <col min="4878" max="5120" width="8.7109375" style="4"/>
    <col min="5121" max="5121" width="132.28515625" style="4" customWidth="1"/>
    <col min="5122" max="5122" width="86.7109375" style="4" customWidth="1"/>
    <col min="5123" max="5123" width="3.42578125" style="4" customWidth="1"/>
    <col min="5124" max="5124" width="14" style="4" bestFit="1" customWidth="1"/>
    <col min="5125" max="5125" width="90.7109375" style="4" customWidth="1"/>
    <col min="5126" max="5131" width="12.7109375" style="4" customWidth="1"/>
    <col min="5132" max="5132" width="13.7109375" style="4" customWidth="1"/>
    <col min="5133" max="5133" width="12.42578125" style="4" customWidth="1"/>
    <col min="5134" max="5376" width="8.7109375" style="4"/>
    <col min="5377" max="5377" width="132.28515625" style="4" customWidth="1"/>
    <col min="5378" max="5378" width="86.7109375" style="4" customWidth="1"/>
    <col min="5379" max="5379" width="3.42578125" style="4" customWidth="1"/>
    <col min="5380" max="5380" width="14" style="4" bestFit="1" customWidth="1"/>
    <col min="5381" max="5381" width="90.7109375" style="4" customWidth="1"/>
    <col min="5382" max="5387" width="12.7109375" style="4" customWidth="1"/>
    <col min="5388" max="5388" width="13.7109375" style="4" customWidth="1"/>
    <col min="5389" max="5389" width="12.42578125" style="4" customWidth="1"/>
    <col min="5390" max="5632" width="8.7109375" style="4"/>
    <col min="5633" max="5633" width="132.28515625" style="4" customWidth="1"/>
    <col min="5634" max="5634" width="86.7109375" style="4" customWidth="1"/>
    <col min="5635" max="5635" width="3.42578125" style="4" customWidth="1"/>
    <col min="5636" max="5636" width="14" style="4" bestFit="1" customWidth="1"/>
    <col min="5637" max="5637" width="90.7109375" style="4" customWidth="1"/>
    <col min="5638" max="5643" width="12.7109375" style="4" customWidth="1"/>
    <col min="5644" max="5644" width="13.7109375" style="4" customWidth="1"/>
    <col min="5645" max="5645" width="12.42578125" style="4" customWidth="1"/>
    <col min="5646" max="5888" width="8.7109375" style="4"/>
    <col min="5889" max="5889" width="132.28515625" style="4" customWidth="1"/>
    <col min="5890" max="5890" width="86.7109375" style="4" customWidth="1"/>
    <col min="5891" max="5891" width="3.42578125" style="4" customWidth="1"/>
    <col min="5892" max="5892" width="14" style="4" bestFit="1" customWidth="1"/>
    <col min="5893" max="5893" width="90.7109375" style="4" customWidth="1"/>
    <col min="5894" max="5899" width="12.7109375" style="4" customWidth="1"/>
    <col min="5900" max="5900" width="13.7109375" style="4" customWidth="1"/>
    <col min="5901" max="5901" width="12.42578125" style="4" customWidth="1"/>
    <col min="5902" max="6144" width="8.7109375" style="4"/>
    <col min="6145" max="6145" width="132.28515625" style="4" customWidth="1"/>
    <col min="6146" max="6146" width="86.7109375" style="4" customWidth="1"/>
    <col min="6147" max="6147" width="3.42578125" style="4" customWidth="1"/>
    <col min="6148" max="6148" width="14" style="4" bestFit="1" customWidth="1"/>
    <col min="6149" max="6149" width="90.7109375" style="4" customWidth="1"/>
    <col min="6150" max="6155" width="12.7109375" style="4" customWidth="1"/>
    <col min="6156" max="6156" width="13.7109375" style="4" customWidth="1"/>
    <col min="6157" max="6157" width="12.42578125" style="4" customWidth="1"/>
    <col min="6158" max="6400" width="8.7109375" style="4"/>
    <col min="6401" max="6401" width="132.28515625" style="4" customWidth="1"/>
    <col min="6402" max="6402" width="86.7109375" style="4" customWidth="1"/>
    <col min="6403" max="6403" width="3.42578125" style="4" customWidth="1"/>
    <col min="6404" max="6404" width="14" style="4" bestFit="1" customWidth="1"/>
    <col min="6405" max="6405" width="90.7109375" style="4" customWidth="1"/>
    <col min="6406" max="6411" width="12.7109375" style="4" customWidth="1"/>
    <col min="6412" max="6412" width="13.7109375" style="4" customWidth="1"/>
    <col min="6413" max="6413" width="12.42578125" style="4" customWidth="1"/>
    <col min="6414" max="6656" width="8.7109375" style="4"/>
    <col min="6657" max="6657" width="132.28515625" style="4" customWidth="1"/>
    <col min="6658" max="6658" width="86.7109375" style="4" customWidth="1"/>
    <col min="6659" max="6659" width="3.42578125" style="4" customWidth="1"/>
    <col min="6660" max="6660" width="14" style="4" bestFit="1" customWidth="1"/>
    <col min="6661" max="6661" width="90.7109375" style="4" customWidth="1"/>
    <col min="6662" max="6667" width="12.7109375" style="4" customWidth="1"/>
    <col min="6668" max="6668" width="13.7109375" style="4" customWidth="1"/>
    <col min="6669" max="6669" width="12.42578125" style="4" customWidth="1"/>
    <col min="6670" max="6912" width="8.7109375" style="4"/>
    <col min="6913" max="6913" width="132.28515625" style="4" customWidth="1"/>
    <col min="6914" max="6914" width="86.7109375" style="4" customWidth="1"/>
    <col min="6915" max="6915" width="3.42578125" style="4" customWidth="1"/>
    <col min="6916" max="6916" width="14" style="4" bestFit="1" customWidth="1"/>
    <col min="6917" max="6917" width="90.7109375" style="4" customWidth="1"/>
    <col min="6918" max="6923" width="12.7109375" style="4" customWidth="1"/>
    <col min="6924" max="6924" width="13.7109375" style="4" customWidth="1"/>
    <col min="6925" max="6925" width="12.42578125" style="4" customWidth="1"/>
    <col min="6926" max="7168" width="8.7109375" style="4"/>
    <col min="7169" max="7169" width="132.28515625" style="4" customWidth="1"/>
    <col min="7170" max="7170" width="86.7109375" style="4" customWidth="1"/>
    <col min="7171" max="7171" width="3.42578125" style="4" customWidth="1"/>
    <col min="7172" max="7172" width="14" style="4" bestFit="1" customWidth="1"/>
    <col min="7173" max="7173" width="90.7109375" style="4" customWidth="1"/>
    <col min="7174" max="7179" width="12.7109375" style="4" customWidth="1"/>
    <col min="7180" max="7180" width="13.7109375" style="4" customWidth="1"/>
    <col min="7181" max="7181" width="12.42578125" style="4" customWidth="1"/>
    <col min="7182" max="7424" width="8.7109375" style="4"/>
    <col min="7425" max="7425" width="132.28515625" style="4" customWidth="1"/>
    <col min="7426" max="7426" width="86.7109375" style="4" customWidth="1"/>
    <col min="7427" max="7427" width="3.42578125" style="4" customWidth="1"/>
    <col min="7428" max="7428" width="14" style="4" bestFit="1" customWidth="1"/>
    <col min="7429" max="7429" width="90.7109375" style="4" customWidth="1"/>
    <col min="7430" max="7435" width="12.7109375" style="4" customWidth="1"/>
    <col min="7436" max="7436" width="13.7109375" style="4" customWidth="1"/>
    <col min="7437" max="7437" width="12.42578125" style="4" customWidth="1"/>
    <col min="7438" max="7680" width="8.7109375" style="4"/>
    <col min="7681" max="7681" width="132.28515625" style="4" customWidth="1"/>
    <col min="7682" max="7682" width="86.7109375" style="4" customWidth="1"/>
    <col min="7683" max="7683" width="3.42578125" style="4" customWidth="1"/>
    <col min="7684" max="7684" width="14" style="4" bestFit="1" customWidth="1"/>
    <col min="7685" max="7685" width="90.7109375" style="4" customWidth="1"/>
    <col min="7686" max="7691" width="12.7109375" style="4" customWidth="1"/>
    <col min="7692" max="7692" width="13.7109375" style="4" customWidth="1"/>
    <col min="7693" max="7693" width="12.42578125" style="4" customWidth="1"/>
    <col min="7694" max="7936" width="8.7109375" style="4"/>
    <col min="7937" max="7937" width="132.28515625" style="4" customWidth="1"/>
    <col min="7938" max="7938" width="86.7109375" style="4" customWidth="1"/>
    <col min="7939" max="7939" width="3.42578125" style="4" customWidth="1"/>
    <col min="7940" max="7940" width="14" style="4" bestFit="1" customWidth="1"/>
    <col min="7941" max="7941" width="90.7109375" style="4" customWidth="1"/>
    <col min="7942" max="7947" width="12.7109375" style="4" customWidth="1"/>
    <col min="7948" max="7948" width="13.7109375" style="4" customWidth="1"/>
    <col min="7949" max="7949" width="12.42578125" style="4" customWidth="1"/>
    <col min="7950" max="8192" width="8.7109375" style="4"/>
    <col min="8193" max="8193" width="132.28515625" style="4" customWidth="1"/>
    <col min="8194" max="8194" width="86.7109375" style="4" customWidth="1"/>
    <col min="8195" max="8195" width="3.42578125" style="4" customWidth="1"/>
    <col min="8196" max="8196" width="14" style="4" bestFit="1" customWidth="1"/>
    <col min="8197" max="8197" width="90.7109375" style="4" customWidth="1"/>
    <col min="8198" max="8203" width="12.7109375" style="4" customWidth="1"/>
    <col min="8204" max="8204" width="13.7109375" style="4" customWidth="1"/>
    <col min="8205" max="8205" width="12.42578125" style="4" customWidth="1"/>
    <col min="8206" max="8448" width="8.7109375" style="4"/>
    <col min="8449" max="8449" width="132.28515625" style="4" customWidth="1"/>
    <col min="8450" max="8450" width="86.7109375" style="4" customWidth="1"/>
    <col min="8451" max="8451" width="3.42578125" style="4" customWidth="1"/>
    <col min="8452" max="8452" width="14" style="4" bestFit="1" customWidth="1"/>
    <col min="8453" max="8453" width="90.7109375" style="4" customWidth="1"/>
    <col min="8454" max="8459" width="12.7109375" style="4" customWidth="1"/>
    <col min="8460" max="8460" width="13.7109375" style="4" customWidth="1"/>
    <col min="8461" max="8461" width="12.42578125" style="4" customWidth="1"/>
    <col min="8462" max="8704" width="8.7109375" style="4"/>
    <col min="8705" max="8705" width="132.28515625" style="4" customWidth="1"/>
    <col min="8706" max="8706" width="86.7109375" style="4" customWidth="1"/>
    <col min="8707" max="8707" width="3.42578125" style="4" customWidth="1"/>
    <col min="8708" max="8708" width="14" style="4" bestFit="1" customWidth="1"/>
    <col min="8709" max="8709" width="90.7109375" style="4" customWidth="1"/>
    <col min="8710" max="8715" width="12.7109375" style="4" customWidth="1"/>
    <col min="8716" max="8716" width="13.7109375" style="4" customWidth="1"/>
    <col min="8717" max="8717" width="12.42578125" style="4" customWidth="1"/>
    <col min="8718" max="8960" width="8.7109375" style="4"/>
    <col min="8961" max="8961" width="132.28515625" style="4" customWidth="1"/>
    <col min="8962" max="8962" width="86.7109375" style="4" customWidth="1"/>
    <col min="8963" max="8963" width="3.42578125" style="4" customWidth="1"/>
    <col min="8964" max="8964" width="14" style="4" bestFit="1" customWidth="1"/>
    <col min="8965" max="8965" width="90.7109375" style="4" customWidth="1"/>
    <col min="8966" max="8971" width="12.7109375" style="4" customWidth="1"/>
    <col min="8972" max="8972" width="13.7109375" style="4" customWidth="1"/>
    <col min="8973" max="8973" width="12.42578125" style="4" customWidth="1"/>
    <col min="8974" max="9216" width="8.7109375" style="4"/>
    <col min="9217" max="9217" width="132.28515625" style="4" customWidth="1"/>
    <col min="9218" max="9218" width="86.7109375" style="4" customWidth="1"/>
    <col min="9219" max="9219" width="3.42578125" style="4" customWidth="1"/>
    <col min="9220" max="9220" width="14" style="4" bestFit="1" customWidth="1"/>
    <col min="9221" max="9221" width="90.7109375" style="4" customWidth="1"/>
    <col min="9222" max="9227" width="12.7109375" style="4" customWidth="1"/>
    <col min="9228" max="9228" width="13.7109375" style="4" customWidth="1"/>
    <col min="9229" max="9229" width="12.42578125" style="4" customWidth="1"/>
    <col min="9230" max="9472" width="8.7109375" style="4"/>
    <col min="9473" max="9473" width="132.28515625" style="4" customWidth="1"/>
    <col min="9474" max="9474" width="86.7109375" style="4" customWidth="1"/>
    <col min="9475" max="9475" width="3.42578125" style="4" customWidth="1"/>
    <col min="9476" max="9476" width="14" style="4" bestFit="1" customWidth="1"/>
    <col min="9477" max="9477" width="90.7109375" style="4" customWidth="1"/>
    <col min="9478" max="9483" width="12.7109375" style="4" customWidth="1"/>
    <col min="9484" max="9484" width="13.7109375" style="4" customWidth="1"/>
    <col min="9485" max="9485" width="12.42578125" style="4" customWidth="1"/>
    <col min="9486" max="9728" width="8.7109375" style="4"/>
    <col min="9729" max="9729" width="132.28515625" style="4" customWidth="1"/>
    <col min="9730" max="9730" width="86.7109375" style="4" customWidth="1"/>
    <col min="9731" max="9731" width="3.42578125" style="4" customWidth="1"/>
    <col min="9732" max="9732" width="14" style="4" bestFit="1" customWidth="1"/>
    <col min="9733" max="9733" width="90.7109375" style="4" customWidth="1"/>
    <col min="9734" max="9739" width="12.7109375" style="4" customWidth="1"/>
    <col min="9740" max="9740" width="13.7109375" style="4" customWidth="1"/>
    <col min="9741" max="9741" width="12.42578125" style="4" customWidth="1"/>
    <col min="9742" max="9984" width="8.7109375" style="4"/>
    <col min="9985" max="9985" width="132.28515625" style="4" customWidth="1"/>
    <col min="9986" max="9986" width="86.7109375" style="4" customWidth="1"/>
    <col min="9987" max="9987" width="3.42578125" style="4" customWidth="1"/>
    <col min="9988" max="9988" width="14" style="4" bestFit="1" customWidth="1"/>
    <col min="9989" max="9989" width="90.7109375" style="4" customWidth="1"/>
    <col min="9990" max="9995" width="12.7109375" style="4" customWidth="1"/>
    <col min="9996" max="9996" width="13.7109375" style="4" customWidth="1"/>
    <col min="9997" max="9997" width="12.42578125" style="4" customWidth="1"/>
    <col min="9998" max="10240" width="8.7109375" style="4"/>
    <col min="10241" max="10241" width="132.28515625" style="4" customWidth="1"/>
    <col min="10242" max="10242" width="86.7109375" style="4" customWidth="1"/>
    <col min="10243" max="10243" width="3.42578125" style="4" customWidth="1"/>
    <col min="10244" max="10244" width="14" style="4" bestFit="1" customWidth="1"/>
    <col min="10245" max="10245" width="90.7109375" style="4" customWidth="1"/>
    <col min="10246" max="10251" width="12.7109375" style="4" customWidth="1"/>
    <col min="10252" max="10252" width="13.7109375" style="4" customWidth="1"/>
    <col min="10253" max="10253" width="12.42578125" style="4" customWidth="1"/>
    <col min="10254" max="10496" width="8.7109375" style="4"/>
    <col min="10497" max="10497" width="132.28515625" style="4" customWidth="1"/>
    <col min="10498" max="10498" width="86.7109375" style="4" customWidth="1"/>
    <col min="10499" max="10499" width="3.42578125" style="4" customWidth="1"/>
    <col min="10500" max="10500" width="14" style="4" bestFit="1" customWidth="1"/>
    <col min="10501" max="10501" width="90.7109375" style="4" customWidth="1"/>
    <col min="10502" max="10507" width="12.7109375" style="4" customWidth="1"/>
    <col min="10508" max="10508" width="13.7109375" style="4" customWidth="1"/>
    <col min="10509" max="10509" width="12.42578125" style="4" customWidth="1"/>
    <col min="10510" max="10752" width="8.7109375" style="4"/>
    <col min="10753" max="10753" width="132.28515625" style="4" customWidth="1"/>
    <col min="10754" max="10754" width="86.7109375" style="4" customWidth="1"/>
    <col min="10755" max="10755" width="3.42578125" style="4" customWidth="1"/>
    <col min="10756" max="10756" width="14" style="4" bestFit="1" customWidth="1"/>
    <col min="10757" max="10757" width="90.7109375" style="4" customWidth="1"/>
    <col min="10758" max="10763" width="12.7109375" style="4" customWidth="1"/>
    <col min="10764" max="10764" width="13.7109375" style="4" customWidth="1"/>
    <col min="10765" max="10765" width="12.42578125" style="4" customWidth="1"/>
    <col min="10766" max="11008" width="8.7109375" style="4"/>
    <col min="11009" max="11009" width="132.28515625" style="4" customWidth="1"/>
    <col min="11010" max="11010" width="86.7109375" style="4" customWidth="1"/>
    <col min="11011" max="11011" width="3.42578125" style="4" customWidth="1"/>
    <col min="11012" max="11012" width="14" style="4" bestFit="1" customWidth="1"/>
    <col min="11013" max="11013" width="90.7109375" style="4" customWidth="1"/>
    <col min="11014" max="11019" width="12.7109375" style="4" customWidth="1"/>
    <col min="11020" max="11020" width="13.7109375" style="4" customWidth="1"/>
    <col min="11021" max="11021" width="12.42578125" style="4" customWidth="1"/>
    <col min="11022" max="11264" width="8.7109375" style="4"/>
    <col min="11265" max="11265" width="132.28515625" style="4" customWidth="1"/>
    <col min="11266" max="11266" width="86.7109375" style="4" customWidth="1"/>
    <col min="11267" max="11267" width="3.42578125" style="4" customWidth="1"/>
    <col min="11268" max="11268" width="14" style="4" bestFit="1" customWidth="1"/>
    <col min="11269" max="11269" width="90.7109375" style="4" customWidth="1"/>
    <col min="11270" max="11275" width="12.7109375" style="4" customWidth="1"/>
    <col min="11276" max="11276" width="13.7109375" style="4" customWidth="1"/>
    <col min="11277" max="11277" width="12.42578125" style="4" customWidth="1"/>
    <col min="11278" max="11520" width="8.7109375" style="4"/>
    <col min="11521" max="11521" width="132.28515625" style="4" customWidth="1"/>
    <col min="11522" max="11522" width="86.7109375" style="4" customWidth="1"/>
    <col min="11523" max="11523" width="3.42578125" style="4" customWidth="1"/>
    <col min="11524" max="11524" width="14" style="4" bestFit="1" customWidth="1"/>
    <col min="11525" max="11525" width="90.7109375" style="4" customWidth="1"/>
    <col min="11526" max="11531" width="12.7109375" style="4" customWidth="1"/>
    <col min="11532" max="11532" width="13.7109375" style="4" customWidth="1"/>
    <col min="11533" max="11533" width="12.42578125" style="4" customWidth="1"/>
    <col min="11534" max="11776" width="8.7109375" style="4"/>
    <col min="11777" max="11777" width="132.28515625" style="4" customWidth="1"/>
    <col min="11778" max="11778" width="86.7109375" style="4" customWidth="1"/>
    <col min="11779" max="11779" width="3.42578125" style="4" customWidth="1"/>
    <col min="11780" max="11780" width="14" style="4" bestFit="1" customWidth="1"/>
    <col min="11781" max="11781" width="90.7109375" style="4" customWidth="1"/>
    <col min="11782" max="11787" width="12.7109375" style="4" customWidth="1"/>
    <col min="11788" max="11788" width="13.7109375" style="4" customWidth="1"/>
    <col min="11789" max="11789" width="12.42578125" style="4" customWidth="1"/>
    <col min="11790" max="12032" width="8.7109375" style="4"/>
    <col min="12033" max="12033" width="132.28515625" style="4" customWidth="1"/>
    <col min="12034" max="12034" width="86.7109375" style="4" customWidth="1"/>
    <col min="12035" max="12035" width="3.42578125" style="4" customWidth="1"/>
    <col min="12036" max="12036" width="14" style="4" bestFit="1" customWidth="1"/>
    <col min="12037" max="12037" width="90.7109375" style="4" customWidth="1"/>
    <col min="12038" max="12043" width="12.7109375" style="4" customWidth="1"/>
    <col min="12044" max="12044" width="13.7109375" style="4" customWidth="1"/>
    <col min="12045" max="12045" width="12.42578125" style="4" customWidth="1"/>
    <col min="12046" max="12288" width="8.7109375" style="4"/>
    <col min="12289" max="12289" width="132.28515625" style="4" customWidth="1"/>
    <col min="12290" max="12290" width="86.7109375" style="4" customWidth="1"/>
    <col min="12291" max="12291" width="3.42578125" style="4" customWidth="1"/>
    <col min="12292" max="12292" width="14" style="4" bestFit="1" customWidth="1"/>
    <col min="12293" max="12293" width="90.7109375" style="4" customWidth="1"/>
    <col min="12294" max="12299" width="12.7109375" style="4" customWidth="1"/>
    <col min="12300" max="12300" width="13.7109375" style="4" customWidth="1"/>
    <col min="12301" max="12301" width="12.42578125" style="4" customWidth="1"/>
    <col min="12302" max="12544" width="8.7109375" style="4"/>
    <col min="12545" max="12545" width="132.28515625" style="4" customWidth="1"/>
    <col min="12546" max="12546" width="86.7109375" style="4" customWidth="1"/>
    <col min="12547" max="12547" width="3.42578125" style="4" customWidth="1"/>
    <col min="12548" max="12548" width="14" style="4" bestFit="1" customWidth="1"/>
    <col min="12549" max="12549" width="90.7109375" style="4" customWidth="1"/>
    <col min="12550" max="12555" width="12.7109375" style="4" customWidth="1"/>
    <col min="12556" max="12556" width="13.7109375" style="4" customWidth="1"/>
    <col min="12557" max="12557" width="12.42578125" style="4" customWidth="1"/>
    <col min="12558" max="12800" width="8.7109375" style="4"/>
    <col min="12801" max="12801" width="132.28515625" style="4" customWidth="1"/>
    <col min="12802" max="12802" width="86.7109375" style="4" customWidth="1"/>
    <col min="12803" max="12803" width="3.42578125" style="4" customWidth="1"/>
    <col min="12804" max="12804" width="14" style="4" bestFit="1" customWidth="1"/>
    <col min="12805" max="12805" width="90.7109375" style="4" customWidth="1"/>
    <col min="12806" max="12811" width="12.7109375" style="4" customWidth="1"/>
    <col min="12812" max="12812" width="13.7109375" style="4" customWidth="1"/>
    <col min="12813" max="12813" width="12.42578125" style="4" customWidth="1"/>
    <col min="12814" max="13056" width="8.7109375" style="4"/>
    <col min="13057" max="13057" width="132.28515625" style="4" customWidth="1"/>
    <col min="13058" max="13058" width="86.7109375" style="4" customWidth="1"/>
    <col min="13059" max="13059" width="3.42578125" style="4" customWidth="1"/>
    <col min="13060" max="13060" width="14" style="4" bestFit="1" customWidth="1"/>
    <col min="13061" max="13061" width="90.7109375" style="4" customWidth="1"/>
    <col min="13062" max="13067" width="12.7109375" style="4" customWidth="1"/>
    <col min="13068" max="13068" width="13.7109375" style="4" customWidth="1"/>
    <col min="13069" max="13069" width="12.42578125" style="4" customWidth="1"/>
    <col min="13070" max="13312" width="8.7109375" style="4"/>
    <col min="13313" max="13313" width="132.28515625" style="4" customWidth="1"/>
    <col min="13314" max="13314" width="86.7109375" style="4" customWidth="1"/>
    <col min="13315" max="13315" width="3.42578125" style="4" customWidth="1"/>
    <col min="13316" max="13316" width="14" style="4" bestFit="1" customWidth="1"/>
    <col min="13317" max="13317" width="90.7109375" style="4" customWidth="1"/>
    <col min="13318" max="13323" width="12.7109375" style="4" customWidth="1"/>
    <col min="13324" max="13324" width="13.7109375" style="4" customWidth="1"/>
    <col min="13325" max="13325" width="12.42578125" style="4" customWidth="1"/>
    <col min="13326" max="13568" width="8.7109375" style="4"/>
    <col min="13569" max="13569" width="132.28515625" style="4" customWidth="1"/>
    <col min="13570" max="13570" width="86.7109375" style="4" customWidth="1"/>
    <col min="13571" max="13571" width="3.42578125" style="4" customWidth="1"/>
    <col min="13572" max="13572" width="14" style="4" bestFit="1" customWidth="1"/>
    <col min="13573" max="13573" width="90.7109375" style="4" customWidth="1"/>
    <col min="13574" max="13579" width="12.7109375" style="4" customWidth="1"/>
    <col min="13580" max="13580" width="13.7109375" style="4" customWidth="1"/>
    <col min="13581" max="13581" width="12.42578125" style="4" customWidth="1"/>
    <col min="13582" max="13824" width="8.7109375" style="4"/>
    <col min="13825" max="13825" width="132.28515625" style="4" customWidth="1"/>
    <col min="13826" max="13826" width="86.7109375" style="4" customWidth="1"/>
    <col min="13827" max="13827" width="3.42578125" style="4" customWidth="1"/>
    <col min="13828" max="13828" width="14" style="4" bestFit="1" customWidth="1"/>
    <col min="13829" max="13829" width="90.7109375" style="4" customWidth="1"/>
    <col min="13830" max="13835" width="12.7109375" style="4" customWidth="1"/>
    <col min="13836" max="13836" width="13.7109375" style="4" customWidth="1"/>
    <col min="13837" max="13837" width="12.42578125" style="4" customWidth="1"/>
    <col min="13838" max="14080" width="8.7109375" style="4"/>
    <col min="14081" max="14081" width="132.28515625" style="4" customWidth="1"/>
    <col min="14082" max="14082" width="86.7109375" style="4" customWidth="1"/>
    <col min="14083" max="14083" width="3.42578125" style="4" customWidth="1"/>
    <col min="14084" max="14084" width="14" style="4" bestFit="1" customWidth="1"/>
    <col min="14085" max="14085" width="90.7109375" style="4" customWidth="1"/>
    <col min="14086" max="14091" width="12.7109375" style="4" customWidth="1"/>
    <col min="14092" max="14092" width="13.7109375" style="4" customWidth="1"/>
    <col min="14093" max="14093" width="12.42578125" style="4" customWidth="1"/>
    <col min="14094" max="14336" width="8.7109375" style="4"/>
    <col min="14337" max="14337" width="132.28515625" style="4" customWidth="1"/>
    <col min="14338" max="14338" width="86.7109375" style="4" customWidth="1"/>
    <col min="14339" max="14339" width="3.42578125" style="4" customWidth="1"/>
    <col min="14340" max="14340" width="14" style="4" bestFit="1" customWidth="1"/>
    <col min="14341" max="14341" width="90.7109375" style="4" customWidth="1"/>
    <col min="14342" max="14347" width="12.7109375" style="4" customWidth="1"/>
    <col min="14348" max="14348" width="13.7109375" style="4" customWidth="1"/>
    <col min="14349" max="14349" width="12.42578125" style="4" customWidth="1"/>
    <col min="14350" max="14592" width="8.7109375" style="4"/>
    <col min="14593" max="14593" width="132.28515625" style="4" customWidth="1"/>
    <col min="14594" max="14594" width="86.7109375" style="4" customWidth="1"/>
    <col min="14595" max="14595" width="3.42578125" style="4" customWidth="1"/>
    <col min="14596" max="14596" width="14" style="4" bestFit="1" customWidth="1"/>
    <col min="14597" max="14597" width="90.7109375" style="4" customWidth="1"/>
    <col min="14598" max="14603" width="12.7109375" style="4" customWidth="1"/>
    <col min="14604" max="14604" width="13.7109375" style="4" customWidth="1"/>
    <col min="14605" max="14605" width="12.42578125" style="4" customWidth="1"/>
    <col min="14606" max="14848" width="8.7109375" style="4"/>
    <col min="14849" max="14849" width="132.28515625" style="4" customWidth="1"/>
    <col min="14850" max="14850" width="86.7109375" style="4" customWidth="1"/>
    <col min="14851" max="14851" width="3.42578125" style="4" customWidth="1"/>
    <col min="14852" max="14852" width="14" style="4" bestFit="1" customWidth="1"/>
    <col min="14853" max="14853" width="90.7109375" style="4" customWidth="1"/>
    <col min="14854" max="14859" width="12.7109375" style="4" customWidth="1"/>
    <col min="14860" max="14860" width="13.7109375" style="4" customWidth="1"/>
    <col min="14861" max="14861" width="12.42578125" style="4" customWidth="1"/>
    <col min="14862" max="15104" width="8.7109375" style="4"/>
    <col min="15105" max="15105" width="132.28515625" style="4" customWidth="1"/>
    <col min="15106" max="15106" width="86.7109375" style="4" customWidth="1"/>
    <col min="15107" max="15107" width="3.42578125" style="4" customWidth="1"/>
    <col min="15108" max="15108" width="14" style="4" bestFit="1" customWidth="1"/>
    <col min="15109" max="15109" width="90.7109375" style="4" customWidth="1"/>
    <col min="15110" max="15115" width="12.7109375" style="4" customWidth="1"/>
    <col min="15116" max="15116" width="13.7109375" style="4" customWidth="1"/>
    <col min="15117" max="15117" width="12.42578125" style="4" customWidth="1"/>
    <col min="15118" max="15360" width="8.7109375" style="4"/>
    <col min="15361" max="15361" width="132.28515625" style="4" customWidth="1"/>
    <col min="15362" max="15362" width="86.7109375" style="4" customWidth="1"/>
    <col min="15363" max="15363" width="3.42578125" style="4" customWidth="1"/>
    <col min="15364" max="15364" width="14" style="4" bestFit="1" customWidth="1"/>
    <col min="15365" max="15365" width="90.7109375" style="4" customWidth="1"/>
    <col min="15366" max="15371" width="12.7109375" style="4" customWidth="1"/>
    <col min="15372" max="15372" width="13.7109375" style="4" customWidth="1"/>
    <col min="15373" max="15373" width="12.42578125" style="4" customWidth="1"/>
    <col min="15374" max="15616" width="8.7109375" style="4"/>
    <col min="15617" max="15617" width="132.28515625" style="4" customWidth="1"/>
    <col min="15618" max="15618" width="86.7109375" style="4" customWidth="1"/>
    <col min="15619" max="15619" width="3.42578125" style="4" customWidth="1"/>
    <col min="15620" max="15620" width="14" style="4" bestFit="1" customWidth="1"/>
    <col min="15621" max="15621" width="90.7109375" style="4" customWidth="1"/>
    <col min="15622" max="15627" width="12.7109375" style="4" customWidth="1"/>
    <col min="15628" max="15628" width="13.7109375" style="4" customWidth="1"/>
    <col min="15629" max="15629" width="12.42578125" style="4" customWidth="1"/>
    <col min="15630" max="15872" width="8.7109375" style="4"/>
    <col min="15873" max="15873" width="132.28515625" style="4" customWidth="1"/>
    <col min="15874" max="15874" width="86.7109375" style="4" customWidth="1"/>
    <col min="15875" max="15875" width="3.42578125" style="4" customWidth="1"/>
    <col min="15876" max="15876" width="14" style="4" bestFit="1" customWidth="1"/>
    <col min="15877" max="15877" width="90.7109375" style="4" customWidth="1"/>
    <col min="15878" max="15883" width="12.7109375" style="4" customWidth="1"/>
    <col min="15884" max="15884" width="13.7109375" style="4" customWidth="1"/>
    <col min="15885" max="15885" width="12.42578125" style="4" customWidth="1"/>
    <col min="15886" max="16128" width="8.7109375" style="4"/>
    <col min="16129" max="16129" width="132.28515625" style="4" customWidth="1"/>
    <col min="16130" max="16130" width="86.7109375" style="4" customWidth="1"/>
    <col min="16131" max="16131" width="3.42578125" style="4" customWidth="1"/>
    <col min="16132" max="16132" width="14" style="4" bestFit="1" customWidth="1"/>
    <col min="16133" max="16133" width="90.7109375" style="4" customWidth="1"/>
    <col min="16134" max="16139" width="12.7109375" style="4" customWidth="1"/>
    <col min="16140" max="16140" width="13.7109375" style="4" customWidth="1"/>
    <col min="16141" max="16141" width="12.42578125" style="4" customWidth="1"/>
    <col min="16142" max="16384" width="8.7109375" style="4"/>
  </cols>
  <sheetData>
    <row r="1" spans="1:12" ht="45" x14ac:dyDescent="0.6">
      <c r="A1" s="26" t="s">
        <v>21</v>
      </c>
      <c r="B1" s="58"/>
      <c r="F1" s="27"/>
    </row>
    <row r="2" spans="1:12" ht="11.25" customHeight="1" x14ac:dyDescent="0.6">
      <c r="A2" s="26"/>
      <c r="F2" s="27"/>
    </row>
    <row r="3" spans="1:12" ht="20.100000000000001" customHeight="1" x14ac:dyDescent="0.3">
      <c r="A3" s="28" t="s">
        <v>129</v>
      </c>
      <c r="D3" s="28"/>
      <c r="F3" s="29"/>
    </row>
    <row r="4" spans="1:12" ht="28.5" customHeight="1" x14ac:dyDescent="0.3">
      <c r="A4" s="29"/>
      <c r="F4" s="29"/>
    </row>
    <row r="5" spans="1:12" x14ac:dyDescent="0.25">
      <c r="A5" s="12" t="str">
        <f>"Projectnaam                    "&amp;Productie_en_afzet!B6</f>
        <v xml:space="preserve">Projectnaam                    </v>
      </c>
      <c r="B5" s="12"/>
      <c r="C5" s="12"/>
    </row>
    <row r="6" spans="1:12" x14ac:dyDescent="0.25">
      <c r="A6" s="12" t="str">
        <f>"Categorie SDE+               "&amp;Hulpblad_categorieën_parameters!D75</f>
        <v>Categorie SDE+               Zon-PV ≥ 15 kWp en &lt; 1 MWp aansluiting &gt; 3*80 A, gebouwgebonden (net = 50%)</v>
      </c>
      <c r="B6" s="12"/>
      <c r="C6" s="12"/>
    </row>
    <row r="7" spans="1:12" ht="26.25" customHeight="1" x14ac:dyDescent="0.25">
      <c r="A7" s="30"/>
      <c r="D7" s="30"/>
      <c r="E7" s="30"/>
      <c r="F7" s="30"/>
      <c r="G7" s="30"/>
      <c r="H7" s="30"/>
      <c r="I7" s="30"/>
      <c r="J7" s="30"/>
      <c r="K7" s="30"/>
      <c r="L7" s="30"/>
    </row>
    <row r="8" spans="1:12" ht="18" x14ac:dyDescent="0.25">
      <c r="A8" s="28" t="s">
        <v>130</v>
      </c>
    </row>
    <row r="9" spans="1:12" ht="18" x14ac:dyDescent="0.25">
      <c r="A9" s="28"/>
    </row>
    <row r="10" spans="1:12" x14ac:dyDescent="0.25">
      <c r="A10" s="30" t="s">
        <v>131</v>
      </c>
    </row>
    <row r="11" spans="1:12" ht="12.75" customHeight="1" x14ac:dyDescent="0.25">
      <c r="A11" s="101" t="str">
        <f>Financiering_en_projectplan!H56</f>
        <v/>
      </c>
      <c r="B11" s="4"/>
      <c r="C11" s="40"/>
    </row>
    <row r="12" spans="1:12" ht="12.75" customHeight="1" x14ac:dyDescent="0.25">
      <c r="A12" s="30"/>
      <c r="B12" s="102"/>
      <c r="C12" s="40"/>
    </row>
    <row r="13" spans="1:12" x14ac:dyDescent="0.25">
      <c r="A13" s="103" t="s">
        <v>132</v>
      </c>
      <c r="B13" s="4"/>
      <c r="C13" s="40"/>
    </row>
    <row r="14" spans="1:12" x14ac:dyDescent="0.25">
      <c r="A14" s="104" t="str">
        <f>Financiering_en_projectplan!H15</f>
        <v>Voeg een jaarrekening toe</v>
      </c>
      <c r="B14" s="40"/>
      <c r="C14" s="40"/>
    </row>
    <row r="15" spans="1:12" x14ac:dyDescent="0.25">
      <c r="A15" s="50"/>
      <c r="B15" s="40"/>
      <c r="C15" s="40"/>
    </row>
    <row r="16" spans="1:12" x14ac:dyDescent="0.25">
      <c r="A16" s="30" t="s">
        <v>133</v>
      </c>
      <c r="B16" s="4"/>
      <c r="C16" s="40"/>
    </row>
    <row r="17" spans="1:12" x14ac:dyDescent="0.25">
      <c r="A17" s="105" t="str">
        <f>Financiering_en_projectplan!H61</f>
        <v/>
      </c>
      <c r="B17" s="4"/>
      <c r="C17" s="40"/>
      <c r="D17" s="14"/>
      <c r="F17" s="38"/>
      <c r="G17" s="38"/>
      <c r="H17" s="38"/>
      <c r="I17" s="38"/>
      <c r="J17" s="38"/>
      <c r="K17" s="38"/>
      <c r="L17" s="38"/>
    </row>
    <row r="18" spans="1:12" x14ac:dyDescent="0.25">
      <c r="A18" s="106" t="str">
        <f>Financiering_en_projectplan!H62</f>
        <v/>
      </c>
      <c r="B18" s="4"/>
      <c r="C18" s="40"/>
      <c r="D18" s="57"/>
      <c r="F18" s="38"/>
      <c r="G18" s="38"/>
      <c r="H18" s="38"/>
      <c r="I18" s="38"/>
      <c r="J18" s="38"/>
      <c r="K18" s="38"/>
      <c r="L18" s="38"/>
    </row>
    <row r="19" spans="1:12" x14ac:dyDescent="0.25">
      <c r="A19" s="106" t="str">
        <f>Financiering_en_projectplan!H63</f>
        <v/>
      </c>
      <c r="B19" s="4"/>
      <c r="C19" s="40"/>
      <c r="D19" s="57"/>
      <c r="F19" s="38"/>
      <c r="G19" s="38"/>
      <c r="H19" s="38"/>
      <c r="I19" s="38"/>
      <c r="J19" s="38"/>
      <c r="K19" s="38"/>
      <c r="L19" s="38"/>
    </row>
    <row r="20" spans="1:12" x14ac:dyDescent="0.25">
      <c r="A20" s="106" t="str">
        <f>Financiering_en_projectplan!H64</f>
        <v/>
      </c>
      <c r="B20" s="4"/>
      <c r="C20" s="40"/>
      <c r="D20" s="57"/>
      <c r="F20" s="38"/>
      <c r="G20" s="38"/>
      <c r="H20" s="38"/>
      <c r="I20" s="38"/>
      <c r="J20" s="38"/>
      <c r="K20" s="38"/>
      <c r="L20" s="38"/>
    </row>
    <row r="21" spans="1:12" x14ac:dyDescent="0.25">
      <c r="A21" s="106" t="str">
        <f>Financiering_en_projectplan!H65</f>
        <v/>
      </c>
      <c r="B21" s="4"/>
      <c r="C21" s="40"/>
      <c r="D21" s="57"/>
      <c r="F21" s="38"/>
      <c r="G21" s="38"/>
      <c r="H21" s="38"/>
      <c r="I21" s="38"/>
      <c r="J21" s="38"/>
      <c r="K21" s="38"/>
      <c r="L21" s="38"/>
    </row>
    <row r="22" spans="1:12" x14ac:dyDescent="0.25">
      <c r="A22" s="106" t="str">
        <f>Financiering_en_projectplan!H66</f>
        <v/>
      </c>
      <c r="B22" s="4"/>
      <c r="C22" s="40"/>
      <c r="D22" s="14"/>
      <c r="E22" s="38"/>
      <c r="F22" s="38"/>
      <c r="G22" s="38"/>
      <c r="H22" s="38"/>
      <c r="I22" s="38"/>
      <c r="J22" s="38"/>
      <c r="K22" s="38"/>
      <c r="L22" s="38"/>
    </row>
    <row r="23" spans="1:12" x14ac:dyDescent="0.25">
      <c r="A23" s="106" t="str">
        <f>Financiering_en_projectplan!H67</f>
        <v/>
      </c>
      <c r="B23" s="4"/>
      <c r="C23" s="40"/>
      <c r="D23" s="14"/>
      <c r="E23" s="38"/>
      <c r="F23" s="38"/>
      <c r="G23" s="38"/>
      <c r="H23" s="38"/>
      <c r="I23" s="38"/>
      <c r="J23" s="38"/>
      <c r="K23" s="38"/>
      <c r="L23" s="38"/>
    </row>
    <row r="24" spans="1:12" x14ac:dyDescent="0.25">
      <c r="A24" s="106" t="str">
        <f>Financiering_en_projectplan!H68</f>
        <v/>
      </c>
      <c r="B24" s="4"/>
      <c r="C24" s="40"/>
      <c r="E24" s="38"/>
      <c r="F24" s="38"/>
      <c r="G24" s="38"/>
      <c r="H24" s="38"/>
      <c r="I24" s="38"/>
      <c r="J24" s="38"/>
      <c r="K24" s="38"/>
      <c r="L24" s="38"/>
    </row>
    <row r="25" spans="1:12" x14ac:dyDescent="0.25">
      <c r="A25" s="106" t="str">
        <f>Financiering_en_projectplan!H69</f>
        <v/>
      </c>
      <c r="B25" s="4"/>
      <c r="C25" s="40"/>
      <c r="D25" s="14"/>
      <c r="E25" s="38"/>
      <c r="F25" s="38"/>
      <c r="G25" s="38"/>
      <c r="H25" s="38"/>
      <c r="I25" s="38"/>
      <c r="J25" s="38"/>
      <c r="K25" s="38"/>
      <c r="L25" s="38"/>
    </row>
    <row r="26" spans="1:12" x14ac:dyDescent="0.25">
      <c r="A26" s="107" t="str">
        <f>Financiering_en_projectplan!H70</f>
        <v/>
      </c>
      <c r="B26" s="40"/>
      <c r="C26" s="40"/>
      <c r="D26" s="14"/>
      <c r="E26" s="38"/>
      <c r="F26" s="38"/>
      <c r="G26" s="38"/>
      <c r="H26" s="38"/>
      <c r="I26" s="38"/>
      <c r="J26" s="38"/>
      <c r="K26" s="38"/>
      <c r="L26" s="38"/>
    </row>
    <row r="27" spans="1:12" x14ac:dyDescent="0.25">
      <c r="A27" s="40"/>
      <c r="B27" s="40"/>
      <c r="C27" s="40"/>
      <c r="D27" s="14"/>
      <c r="E27" s="38"/>
      <c r="F27" s="38"/>
      <c r="G27" s="38"/>
      <c r="H27" s="38"/>
      <c r="I27" s="38"/>
      <c r="J27" s="38"/>
      <c r="K27" s="38"/>
      <c r="L27" s="38"/>
    </row>
    <row r="28" spans="1:12" x14ac:dyDescent="0.25">
      <c r="A28" s="30" t="s">
        <v>134</v>
      </c>
      <c r="B28" s="4"/>
      <c r="C28" s="40"/>
      <c r="D28" s="14"/>
      <c r="E28" s="38"/>
      <c r="F28" s="38"/>
      <c r="G28" s="38"/>
      <c r="H28" s="38"/>
      <c r="I28" s="38"/>
      <c r="J28" s="38"/>
      <c r="K28" s="38"/>
      <c r="L28" s="38"/>
    </row>
    <row r="29" spans="1:12" x14ac:dyDescent="0.25">
      <c r="A29" s="105" t="str">
        <f>Financiering_en_projectplan!H72</f>
        <v/>
      </c>
      <c r="B29" s="4"/>
      <c r="C29" s="40"/>
      <c r="D29" s="14"/>
      <c r="E29" s="38"/>
      <c r="F29" s="38"/>
      <c r="G29" s="38"/>
      <c r="H29" s="38"/>
      <c r="I29" s="38"/>
      <c r="J29" s="38"/>
      <c r="K29" s="38"/>
      <c r="L29" s="38"/>
    </row>
    <row r="30" spans="1:12" x14ac:dyDescent="0.25">
      <c r="A30" s="106" t="str">
        <f>Financiering_en_projectplan!H73</f>
        <v/>
      </c>
      <c r="B30" s="4"/>
      <c r="C30" s="40"/>
      <c r="D30" s="14"/>
      <c r="E30" s="38"/>
      <c r="F30" s="38"/>
      <c r="G30" s="38"/>
      <c r="H30" s="38"/>
      <c r="I30" s="38"/>
      <c r="J30" s="38"/>
      <c r="K30" s="38"/>
      <c r="L30" s="38"/>
    </row>
    <row r="31" spans="1:12" x14ac:dyDescent="0.25">
      <c r="A31" s="106" t="str">
        <f>Financiering_en_projectplan!H74</f>
        <v/>
      </c>
      <c r="B31" s="4"/>
      <c r="C31" s="40"/>
      <c r="D31" s="14"/>
      <c r="E31" s="38"/>
      <c r="F31" s="38"/>
      <c r="G31" s="38"/>
      <c r="H31" s="38"/>
      <c r="I31" s="38"/>
      <c r="J31" s="38"/>
      <c r="K31" s="38"/>
      <c r="L31" s="38"/>
    </row>
    <row r="32" spans="1:12" x14ac:dyDescent="0.25">
      <c r="A32" s="106" t="str">
        <f>Financiering_en_projectplan!H75</f>
        <v/>
      </c>
      <c r="B32" s="4"/>
      <c r="C32" s="40"/>
      <c r="D32" s="14"/>
      <c r="E32" s="38"/>
      <c r="F32" s="38"/>
      <c r="G32" s="38"/>
      <c r="H32" s="38"/>
      <c r="I32" s="38"/>
      <c r="J32" s="38"/>
      <c r="K32" s="38"/>
      <c r="L32" s="38"/>
    </row>
    <row r="33" spans="1:12" x14ac:dyDescent="0.25">
      <c r="A33" s="107" t="str">
        <f>Financiering_en_projectplan!H76</f>
        <v/>
      </c>
      <c r="B33" s="40"/>
      <c r="C33" s="40"/>
      <c r="D33" s="14"/>
      <c r="E33" s="38"/>
      <c r="F33" s="38"/>
      <c r="G33" s="38"/>
      <c r="H33" s="38"/>
      <c r="I33" s="38"/>
      <c r="J33" s="38"/>
      <c r="K33" s="38"/>
      <c r="L33" s="38"/>
    </row>
    <row r="34" spans="1:12" x14ac:dyDescent="0.25">
      <c r="A34" s="40"/>
      <c r="B34" s="40"/>
      <c r="C34" s="40"/>
      <c r="D34" s="14"/>
      <c r="E34" s="38"/>
      <c r="F34" s="38"/>
      <c r="G34" s="38"/>
      <c r="H34" s="38"/>
      <c r="I34" s="38"/>
      <c r="J34" s="38"/>
      <c r="K34" s="38"/>
      <c r="L34" s="38"/>
    </row>
    <row r="35" spans="1:12" x14ac:dyDescent="0.25">
      <c r="A35" s="30" t="s">
        <v>135</v>
      </c>
      <c r="B35" s="4"/>
      <c r="C35" s="40"/>
      <c r="D35" s="14"/>
      <c r="E35" s="38"/>
      <c r="F35" s="38"/>
      <c r="G35" s="38"/>
      <c r="H35" s="38"/>
      <c r="I35" s="38"/>
      <c r="J35" s="38"/>
      <c r="K35" s="38"/>
      <c r="L35" s="38"/>
    </row>
    <row r="36" spans="1:12" ht="27.75" customHeight="1" x14ac:dyDescent="0.25">
      <c r="A36" s="108" t="str">
        <f>IF(Hulpblad_overig!B25=1,Financiering_en_projectplan!H58,"")</f>
        <v/>
      </c>
      <c r="B36" s="40"/>
      <c r="C36" s="40"/>
      <c r="D36" s="14"/>
      <c r="E36" s="38"/>
      <c r="F36" s="38"/>
      <c r="G36" s="38"/>
      <c r="H36" s="38"/>
      <c r="I36" s="38"/>
      <c r="J36" s="38"/>
      <c r="K36" s="38"/>
      <c r="L36" s="38"/>
    </row>
    <row r="37" spans="1:12" x14ac:dyDescent="0.25">
      <c r="A37" s="40"/>
      <c r="B37" s="40"/>
      <c r="C37" s="40"/>
      <c r="D37" s="14"/>
      <c r="E37" s="38"/>
      <c r="F37" s="38"/>
      <c r="G37" s="38"/>
      <c r="H37" s="38"/>
      <c r="I37" s="38"/>
      <c r="J37" s="38"/>
      <c r="K37" s="38"/>
      <c r="L37" s="38"/>
    </row>
    <row r="38" spans="1:12" x14ac:dyDescent="0.25">
      <c r="A38" s="30" t="s">
        <v>136</v>
      </c>
      <c r="B38" s="40"/>
      <c r="C38" s="40"/>
      <c r="D38" s="14"/>
      <c r="E38" s="38"/>
      <c r="F38" s="38"/>
      <c r="G38" s="38"/>
      <c r="H38" s="38"/>
      <c r="I38" s="38"/>
      <c r="J38" s="38"/>
      <c r="K38" s="38"/>
      <c r="L38" s="38"/>
    </row>
    <row r="39" spans="1:12" x14ac:dyDescent="0.25">
      <c r="A39" s="109" t="e">
        <f>IF(AND(Hulpblad_overig!B8=2,Financiering_en_projectplan!$E$13&lt;20%),"Voeg contract, offerte of intentieverklaring toe van financier ",IF(AND(Hulpblad_overig!B8=1,Financiering_en_projectplan!$G$78&lt;20%),"Voeg contract, offerte of intentieverklaring toe van financier "&amp;Financiering_en_projectplan!B84&amp;"",""))</f>
        <v>#DIV/0!</v>
      </c>
      <c r="B39" s="40"/>
      <c r="C39" s="40"/>
      <c r="D39" s="14"/>
      <c r="E39" s="38"/>
      <c r="F39" s="38"/>
      <c r="G39" s="38"/>
      <c r="H39" s="38"/>
      <c r="I39" s="38"/>
      <c r="J39" s="38"/>
      <c r="K39" s="38"/>
      <c r="L39" s="38"/>
    </row>
    <row r="40" spans="1:12" x14ac:dyDescent="0.25">
      <c r="A40" s="110" t="e">
        <f>IF(AND(Financiering_en_projectplan!G85&gt;0,Financiering_en_projectplan!$G$78&lt;20%),"Voeg contract, offerte of intentieverklaring toe van financier "&amp;Financiering_en_projectplan!B85&amp;"","")</f>
        <v>#DIV/0!</v>
      </c>
      <c r="B40" s="40"/>
      <c r="C40" s="40"/>
      <c r="D40" s="14"/>
      <c r="E40" s="38"/>
      <c r="F40" s="38"/>
      <c r="G40" s="38"/>
      <c r="H40" s="38"/>
      <c r="I40" s="38"/>
      <c r="J40" s="38"/>
      <c r="K40" s="38"/>
      <c r="L40" s="38"/>
    </row>
    <row r="41" spans="1:12" x14ac:dyDescent="0.25">
      <c r="A41" s="106" t="e">
        <f>IF(AND(Financiering_en_projectplan!G86&gt;0,Financiering_en_projectplan!$G$78&lt;20%),"Voeg contract, offerte of intentieverklaring toe van financier "&amp;Financiering_en_projectplan!B86&amp;"","")</f>
        <v>#DIV/0!</v>
      </c>
      <c r="B41" s="40"/>
      <c r="C41" s="40"/>
      <c r="D41" s="14"/>
      <c r="E41" s="38"/>
      <c r="F41" s="38"/>
      <c r="G41" s="38"/>
      <c r="H41" s="38"/>
      <c r="I41" s="38"/>
      <c r="J41" s="38"/>
      <c r="K41" s="38"/>
      <c r="L41" s="38"/>
    </row>
    <row r="42" spans="1:12" x14ac:dyDescent="0.25">
      <c r="A42" s="106" t="e">
        <f>IF(AND(Financiering_en_projectplan!G87&gt;0,Financiering_en_projectplan!$G$78&lt;20%),"Voeg contract, offerte of intentieverklaring toe van financier "&amp;Financiering_en_projectplan!B87&amp;"","")</f>
        <v>#DIV/0!</v>
      </c>
      <c r="B42" s="40"/>
      <c r="C42" s="40"/>
      <c r="D42" s="14"/>
      <c r="E42" s="38"/>
      <c r="F42" s="38"/>
      <c r="G42" s="38"/>
      <c r="H42" s="38"/>
      <c r="I42" s="38"/>
      <c r="J42" s="38"/>
      <c r="K42" s="38"/>
      <c r="L42" s="38"/>
    </row>
    <row r="43" spans="1:12" x14ac:dyDescent="0.25">
      <c r="A43" s="106" t="e">
        <f>IF(AND(Financiering_en_projectplan!G88&gt;0,Financiering_en_projectplan!$G$78&lt;20%),"Voeg contract, offerte of intentieverklaring toe van financier "&amp;Financiering_en_projectplan!B88&amp;"","")</f>
        <v>#DIV/0!</v>
      </c>
      <c r="B43" s="40"/>
      <c r="C43" s="40"/>
      <c r="D43" s="14"/>
      <c r="E43" s="38"/>
      <c r="F43" s="38"/>
      <c r="G43" s="38"/>
      <c r="H43" s="38"/>
      <c r="I43" s="38"/>
      <c r="J43" s="38"/>
      <c r="K43" s="38"/>
      <c r="L43" s="38"/>
    </row>
    <row r="44" spans="1:12" x14ac:dyDescent="0.25">
      <c r="A44" s="106" t="e">
        <f>IF(AND(Financiering_en_projectplan!G89&gt;0,Financiering_en_projectplan!$G$78&lt;20%),"Voeg contract, offerte of intentieverklaring toe van financier "&amp;Financiering_en_projectplan!B89&amp;"","")</f>
        <v>#DIV/0!</v>
      </c>
      <c r="B44" s="40"/>
      <c r="C44" s="40"/>
      <c r="D44" s="14"/>
      <c r="E44" s="38"/>
      <c r="F44" s="38"/>
      <c r="G44" s="38"/>
      <c r="H44" s="38"/>
      <c r="I44" s="38"/>
      <c r="J44" s="38"/>
      <c r="K44" s="38"/>
      <c r="L44" s="38"/>
    </row>
    <row r="45" spans="1:12" x14ac:dyDescent="0.25">
      <c r="A45" s="106" t="e">
        <f>IF(AND(Financiering_en_projectplan!G90&gt;0,Financiering_en_projectplan!$G$78&lt;20%),"Voeg contract, offerte of intentieverklaring toe van financier "&amp;Financiering_en_projectplan!B90&amp;"","")</f>
        <v>#DIV/0!</v>
      </c>
      <c r="B45" s="40"/>
      <c r="C45" s="40"/>
      <c r="D45" s="14"/>
      <c r="E45" s="38"/>
      <c r="F45" s="38"/>
      <c r="G45" s="38"/>
      <c r="H45" s="38"/>
      <c r="I45" s="38"/>
      <c r="J45" s="38"/>
      <c r="K45" s="38"/>
      <c r="L45" s="38"/>
    </row>
    <row r="46" spans="1:12" x14ac:dyDescent="0.25">
      <c r="A46" s="106" t="e">
        <f>IF(AND(Financiering_en_projectplan!G91&gt;0,Financiering_en_projectplan!$G$78&lt;20%),"Voeg contract, offerte of intentieverklaring toe van financier "&amp;Financiering_en_projectplan!B91&amp;"","")</f>
        <v>#DIV/0!</v>
      </c>
      <c r="B46" s="40"/>
      <c r="C46" s="40"/>
      <c r="D46" s="14"/>
      <c r="E46" s="38"/>
      <c r="F46" s="38"/>
      <c r="G46" s="38"/>
      <c r="H46" s="38"/>
      <c r="I46" s="38"/>
      <c r="J46" s="38"/>
      <c r="K46" s="38"/>
      <c r="L46" s="38"/>
    </row>
    <row r="47" spans="1:12" x14ac:dyDescent="0.25">
      <c r="A47" s="106" t="e">
        <f>IF(AND(Financiering_en_projectplan!G92&gt;0,Financiering_en_projectplan!$G$78&lt;20%),"Voeg contract, offerte of intentieverklaring toe van financier "&amp;Financiering_en_projectplan!B92&amp;"","")</f>
        <v>#DIV/0!</v>
      </c>
      <c r="B47" s="40"/>
      <c r="C47" s="40"/>
      <c r="D47" s="14"/>
      <c r="E47" s="38"/>
      <c r="F47" s="38"/>
      <c r="G47" s="38"/>
      <c r="H47" s="38"/>
      <c r="I47" s="38"/>
      <c r="J47" s="38"/>
      <c r="K47" s="38"/>
      <c r="L47" s="38"/>
    </row>
    <row r="48" spans="1:12" x14ac:dyDescent="0.25">
      <c r="A48" s="107" t="e">
        <f>IF(AND(Financiering_en_projectplan!G93&gt;0,Financiering_en_projectplan!$G$78&lt;20%),"Voeg contract, offerte of intentieverklaring toe van financier "&amp;Financiering_en_projectplan!B93&amp;"","")</f>
        <v>#DIV/0!</v>
      </c>
      <c r="B48" s="40"/>
      <c r="C48" s="40"/>
      <c r="D48" s="14"/>
      <c r="E48" s="38"/>
      <c r="F48" s="38"/>
      <c r="G48" s="38"/>
      <c r="H48" s="38"/>
      <c r="I48" s="38"/>
      <c r="J48" s="38"/>
      <c r="K48" s="38"/>
      <c r="L48" s="38"/>
    </row>
    <row r="49" spans="1:12" x14ac:dyDescent="0.25">
      <c r="A49" s="12"/>
      <c r="B49" s="40"/>
      <c r="C49" s="40"/>
      <c r="D49" s="14"/>
      <c r="E49" s="38"/>
      <c r="F49" s="38"/>
      <c r="G49" s="38"/>
      <c r="H49" s="38"/>
      <c r="I49" s="38"/>
      <c r="J49" s="38"/>
      <c r="K49" s="38"/>
      <c r="L49" s="38"/>
    </row>
    <row r="50" spans="1:12" x14ac:dyDescent="0.25">
      <c r="D50" s="14"/>
      <c r="E50" s="38"/>
      <c r="F50" s="38"/>
      <c r="G50" s="38"/>
      <c r="H50" s="38"/>
      <c r="I50" s="38"/>
      <c r="J50" s="38"/>
      <c r="K50" s="38"/>
      <c r="L50" s="38"/>
    </row>
    <row r="51" spans="1:12" ht="18" x14ac:dyDescent="0.25">
      <c r="A51" s="28" t="s">
        <v>137</v>
      </c>
      <c r="E51" s="38"/>
      <c r="F51" s="38"/>
      <c r="G51" s="38"/>
      <c r="H51" s="38"/>
      <c r="I51" s="38"/>
      <c r="J51" s="38"/>
      <c r="K51" s="38"/>
      <c r="L51" s="38"/>
    </row>
    <row r="52" spans="1:12" ht="26.25" customHeight="1" x14ac:dyDescent="0.25">
      <c r="A52" s="111" t="str">
        <f>VLOOKUP(Hulpblad_categorieën_parameters!D75,Hulpblad_categorieën_parameters!A81:Y303,25,FALSE)</f>
        <v xml:space="preserve">Voeg een gedetailleerde tekening op schaal waarop de aangevraagde Zon-PV-installatie nauwkeurig is ingetekend en een ‘Verklaring draagkracht dakconstructie’ toe. </v>
      </c>
      <c r="B52" s="4"/>
      <c r="C52" s="40"/>
      <c r="E52" s="38"/>
      <c r="F52" s="38"/>
      <c r="G52" s="38"/>
      <c r="H52" s="38"/>
      <c r="I52" s="38"/>
      <c r="J52" s="38"/>
      <c r="K52" s="38"/>
      <c r="L52" s="38"/>
    </row>
    <row r="53" spans="1:12" ht="12.75" customHeight="1" x14ac:dyDescent="0.25">
      <c r="A53" s="107" t="str">
        <f>IF(Productie_en_afzet!A35="U gaat warmte leveren aan derden","Voeg een contract, samenwerkingsplannen of intentieverklaring voor de warmtelevering aan derden toe",IF(Productie_en_afzet!A47="U moet een Capaciteitsverklaring van de partij die de transport en opslag van CO₂ zal realiseren toevoegen aan de haalbaarheidsstudie.","Voeg een Capaciteitsverklaring van de partij die de transport en opslag van CO₂ zal realiseren toe",IF(Productie_en_afzet!A42="Niet van toepassing","","Voeg een een verklaring met prijsindicatie van de netbeheerder voor het invoeden van hernieuwbaar gas toe")))</f>
        <v/>
      </c>
      <c r="B53" s="4"/>
      <c r="C53" s="40"/>
      <c r="E53" s="38"/>
      <c r="F53" s="38"/>
      <c r="G53" s="38"/>
      <c r="H53" s="38"/>
      <c r="I53" s="38"/>
      <c r="J53" s="38"/>
      <c r="K53" s="38"/>
      <c r="L53" s="38"/>
    </row>
    <row r="54" spans="1:12" ht="12.75" customHeight="1" x14ac:dyDescent="0.25">
      <c r="A54" s="30"/>
      <c r="E54" s="42"/>
      <c r="F54" s="42"/>
      <c r="G54" s="42"/>
      <c r="H54" s="42"/>
      <c r="I54" s="42"/>
      <c r="J54" s="42"/>
      <c r="K54" s="42"/>
      <c r="L54" s="42"/>
    </row>
    <row r="55" spans="1:12" ht="12.75" customHeight="1" x14ac:dyDescent="0.25">
      <c r="A55" s="28"/>
      <c r="E55" s="38"/>
      <c r="F55" s="38"/>
      <c r="G55" s="38"/>
      <c r="H55" s="38"/>
      <c r="I55" s="38"/>
      <c r="J55" s="38"/>
      <c r="K55" s="38"/>
      <c r="L55" s="38"/>
    </row>
    <row r="56" spans="1:12" ht="18" x14ac:dyDescent="0.25">
      <c r="A56" s="28" t="s">
        <v>138</v>
      </c>
      <c r="E56" s="38"/>
      <c r="F56" s="38"/>
      <c r="G56" s="38"/>
      <c r="H56" s="38"/>
      <c r="I56" s="38"/>
      <c r="J56" s="38"/>
      <c r="K56" s="38"/>
      <c r="L56" s="38"/>
    </row>
    <row r="57" spans="1:12" x14ac:dyDescent="0.25">
      <c r="E57" s="12"/>
      <c r="F57" s="38"/>
      <c r="G57" s="38"/>
      <c r="H57" s="38"/>
      <c r="I57" s="38"/>
      <c r="J57" s="38"/>
      <c r="K57" s="38"/>
      <c r="L57" s="38"/>
    </row>
    <row r="58" spans="1:12" ht="12.75" customHeight="1" x14ac:dyDescent="0.25">
      <c r="A58" s="30" t="s">
        <v>139</v>
      </c>
      <c r="B58" s="4"/>
      <c r="F58" s="38"/>
      <c r="G58" s="38"/>
      <c r="H58" s="38"/>
      <c r="I58" s="38"/>
      <c r="J58" s="38"/>
      <c r="K58" s="38"/>
      <c r="L58" s="38"/>
    </row>
    <row r="59" spans="1:12" ht="12.75" customHeight="1" x14ac:dyDescent="0.25">
      <c r="A59" s="105" t="str">
        <f>Financiering_en_projectplan!H30</f>
        <v/>
      </c>
      <c r="B59" s="4"/>
      <c r="F59" s="38"/>
      <c r="G59" s="38"/>
      <c r="H59" s="38"/>
      <c r="I59" s="38"/>
      <c r="J59" s="38"/>
      <c r="K59" s="38"/>
      <c r="L59" s="38"/>
    </row>
    <row r="60" spans="1:12" ht="12.75" customHeight="1" x14ac:dyDescent="0.25">
      <c r="A60" s="106" t="str">
        <f>Financiering_en_projectplan!H31</f>
        <v/>
      </c>
      <c r="B60" s="4"/>
      <c r="F60" s="38"/>
      <c r="G60" s="38"/>
      <c r="H60" s="38"/>
      <c r="I60" s="38"/>
      <c r="J60" s="38"/>
      <c r="K60" s="38"/>
      <c r="L60" s="38"/>
    </row>
    <row r="61" spans="1:12" ht="12.75" customHeight="1" x14ac:dyDescent="0.25">
      <c r="A61" s="106" t="str">
        <f>Financiering_en_projectplan!H32</f>
        <v/>
      </c>
      <c r="B61" s="4"/>
      <c r="F61" s="38"/>
      <c r="G61" s="38"/>
      <c r="H61" s="38"/>
      <c r="I61" s="38"/>
      <c r="J61" s="38"/>
      <c r="K61" s="38"/>
      <c r="L61" s="38"/>
    </row>
    <row r="62" spans="1:12" ht="12.75" customHeight="1" x14ac:dyDescent="0.25">
      <c r="A62" s="106" t="str">
        <f>Financiering_en_projectplan!H33</f>
        <v/>
      </c>
      <c r="B62" s="4"/>
      <c r="F62" s="65"/>
      <c r="G62" s="65"/>
      <c r="H62" s="65"/>
      <c r="I62" s="65"/>
      <c r="J62" s="65"/>
      <c r="K62" s="65"/>
      <c r="L62" s="65"/>
    </row>
    <row r="63" spans="1:12" ht="12.75" customHeight="1" x14ac:dyDescent="0.25">
      <c r="A63" s="106" t="str">
        <f>Financiering_en_projectplan!H34</f>
        <v/>
      </c>
      <c r="B63" s="4"/>
      <c r="F63" s="42"/>
      <c r="G63" s="42"/>
      <c r="H63" s="42"/>
      <c r="I63" s="42"/>
      <c r="J63" s="42"/>
      <c r="K63" s="42"/>
      <c r="L63" s="42"/>
    </row>
    <row r="64" spans="1:12" ht="12.75" customHeight="1" x14ac:dyDescent="0.25">
      <c r="A64" s="106" t="str">
        <f>Financiering_en_projectplan!H35</f>
        <v/>
      </c>
      <c r="B64" s="4"/>
      <c r="F64" s="42"/>
      <c r="G64" s="42"/>
      <c r="H64" s="42"/>
      <c r="I64" s="42"/>
      <c r="J64" s="42"/>
      <c r="K64" s="42"/>
      <c r="L64" s="42"/>
    </row>
    <row r="65" spans="1:12" x14ac:dyDescent="0.25">
      <c r="A65" s="106" t="str">
        <f>Financiering_en_projectplan!H36</f>
        <v/>
      </c>
      <c r="B65" s="4"/>
      <c r="F65" s="38"/>
      <c r="G65" s="38"/>
      <c r="H65" s="38"/>
      <c r="I65" s="38"/>
      <c r="J65" s="38"/>
      <c r="K65" s="38"/>
      <c r="L65" s="38"/>
    </row>
    <row r="66" spans="1:12" x14ac:dyDescent="0.25">
      <c r="A66" s="106" t="str">
        <f>Financiering_en_projectplan!H37</f>
        <v/>
      </c>
      <c r="B66" s="4"/>
      <c r="C66" s="16"/>
      <c r="D66" s="38"/>
      <c r="F66" s="14"/>
      <c r="G66" s="14"/>
      <c r="H66" s="14"/>
      <c r="I66" s="14"/>
      <c r="J66" s="14"/>
      <c r="K66" s="14"/>
      <c r="L66" s="14"/>
    </row>
    <row r="67" spans="1:12" x14ac:dyDescent="0.25">
      <c r="A67" s="112" t="str">
        <f>Financiering_en_projectplan!H38</f>
        <v/>
      </c>
      <c r="B67" s="4"/>
      <c r="C67" s="12"/>
      <c r="D67" s="38"/>
      <c r="F67" s="14"/>
      <c r="G67" s="14"/>
      <c r="H67" s="14"/>
      <c r="I67" s="14"/>
      <c r="J67" s="14"/>
      <c r="K67" s="14"/>
      <c r="L67" s="14"/>
    </row>
    <row r="68" spans="1:12" x14ac:dyDescent="0.25">
      <c r="A68" s="107" t="str">
        <f>Financiering_en_projectplan!H39</f>
        <v/>
      </c>
      <c r="B68" s="40"/>
      <c r="C68" s="12"/>
      <c r="D68" s="38"/>
      <c r="E68" s="14"/>
      <c r="F68" s="14"/>
      <c r="G68" s="14"/>
      <c r="H68" s="14"/>
      <c r="I68" s="14"/>
      <c r="J68" s="14"/>
      <c r="K68" s="14"/>
      <c r="L68" s="14"/>
    </row>
    <row r="69" spans="1:12" x14ac:dyDescent="0.25">
      <c r="B69" s="40"/>
      <c r="F69" s="42"/>
      <c r="G69" s="42"/>
      <c r="H69" s="42"/>
      <c r="I69" s="42"/>
      <c r="J69" s="42"/>
      <c r="K69" s="42"/>
      <c r="L69" s="42"/>
    </row>
    <row r="70" spans="1:12" x14ac:dyDescent="0.25">
      <c r="A70" s="30" t="s">
        <v>140</v>
      </c>
      <c r="B70" s="4"/>
      <c r="D70" s="38"/>
      <c r="F70" s="14"/>
      <c r="G70" s="14"/>
      <c r="H70" s="14"/>
      <c r="I70" s="14"/>
      <c r="J70" s="14"/>
      <c r="K70" s="14"/>
      <c r="L70" s="14"/>
    </row>
    <row r="71" spans="1:12" s="30" customFormat="1" ht="12.75" x14ac:dyDescent="0.2">
      <c r="A71" s="104" t="str">
        <f>Financiering_en_projectplan!H40</f>
        <v/>
      </c>
      <c r="D71" s="43"/>
      <c r="E71" s="42"/>
      <c r="F71" s="42"/>
      <c r="G71" s="42"/>
      <c r="H71" s="42"/>
      <c r="I71" s="42"/>
      <c r="J71" s="42"/>
      <c r="K71" s="42"/>
      <c r="L71" s="42"/>
    </row>
    <row r="72" spans="1:12" x14ac:dyDescent="0.25">
      <c r="E72" s="14"/>
      <c r="F72" s="14"/>
      <c r="G72" s="14"/>
      <c r="H72" s="14"/>
      <c r="I72" s="14"/>
      <c r="J72" s="14"/>
      <c r="K72" s="14"/>
      <c r="L72" s="14"/>
    </row>
    <row r="73" spans="1:12" x14ac:dyDescent="0.25">
      <c r="A73" s="30" t="s">
        <v>136</v>
      </c>
      <c r="E73" s="38"/>
      <c r="F73" s="38"/>
      <c r="G73" s="38"/>
      <c r="H73" s="38"/>
      <c r="I73" s="38"/>
      <c r="J73" s="38"/>
      <c r="K73" s="38"/>
      <c r="L73" s="38"/>
    </row>
    <row r="74" spans="1:12" x14ac:dyDescent="0.25">
      <c r="A74" s="105" t="str">
        <f>IF(Hulpblad_overig!B4=1,Financiering_en_projectplan!F8,"")</f>
        <v>Voeg voor een sterkere haalbaarheidsstudie een juridisch organogram (UBO-overzicht) toe</v>
      </c>
      <c r="E74" s="38"/>
      <c r="F74" s="38"/>
      <c r="G74" s="38"/>
      <c r="H74" s="38"/>
      <c r="I74" s="38"/>
      <c r="J74" s="38"/>
      <c r="K74" s="38"/>
      <c r="L74" s="38"/>
    </row>
    <row r="75" spans="1:12" x14ac:dyDescent="0.25">
      <c r="A75" s="112" t="e">
        <f>IF(AND(Financiering_en_projectplan!G84&gt;0,Financiering_en_projectplan!$G$78&gt;20%),"Voeg eventueel contract, offerte of intentieverklaring toe van "&amp;Financiering_en_projectplan!B84&amp;"","")</f>
        <v>#DIV/0!</v>
      </c>
      <c r="E75" s="38"/>
      <c r="F75" s="38"/>
      <c r="G75" s="38"/>
      <c r="H75" s="38"/>
      <c r="I75" s="38"/>
      <c r="J75" s="38"/>
      <c r="K75" s="38"/>
      <c r="L75" s="38"/>
    </row>
    <row r="76" spans="1:12" x14ac:dyDescent="0.25">
      <c r="A76" s="112" t="e">
        <f>IF(AND(Financiering_en_projectplan!G85&gt;0,Financiering_en_projectplan!$G$78&gt;20%),"Voeg eventueel contract, offerte of intentieverklaring toe van "&amp;Financiering_en_projectplan!B85&amp;"","")</f>
        <v>#DIV/0!</v>
      </c>
      <c r="B76" s="16"/>
      <c r="C76" s="16"/>
      <c r="D76" s="14"/>
      <c r="E76" s="14"/>
      <c r="F76" s="14"/>
      <c r="G76" s="14"/>
      <c r="H76" s="14"/>
      <c r="I76" s="14"/>
      <c r="J76" s="14"/>
      <c r="K76" s="14"/>
      <c r="L76" s="14"/>
    </row>
    <row r="77" spans="1:12" x14ac:dyDescent="0.25">
      <c r="A77" s="112" t="e">
        <f>IF(AND(Financiering_en_projectplan!G86&gt;0,Financiering_en_projectplan!$G$78&gt;20%),"Voeg eventueel contract, offerte of intentieverklaring toe van "&amp;Financiering_en_projectplan!B86&amp;"","")</f>
        <v>#DIV/0!</v>
      </c>
      <c r="B77" s="38"/>
      <c r="C77" s="38"/>
      <c r="D77" s="14"/>
      <c r="E77" s="14"/>
      <c r="F77" s="14"/>
      <c r="G77" s="14"/>
      <c r="H77" s="14"/>
      <c r="I77" s="14"/>
      <c r="J77" s="14"/>
      <c r="K77" s="14"/>
      <c r="L77" s="14"/>
    </row>
    <row r="78" spans="1:12" x14ac:dyDescent="0.25">
      <c r="A78" s="112" t="e">
        <f>IF(AND(Financiering_en_projectplan!G87&gt;0,Financiering_en_projectplan!$G$78&gt;20%),"Voeg eventueel contract, offerte of intentieverklaring toe van "&amp;Financiering_en_projectplan!B87&amp;"","")</f>
        <v>#DIV/0!</v>
      </c>
      <c r="B78" s="38"/>
      <c r="C78" s="38"/>
      <c r="D78" s="14"/>
      <c r="E78" s="14"/>
      <c r="F78" s="14"/>
      <c r="G78" s="14"/>
      <c r="H78" s="14"/>
      <c r="I78" s="14"/>
      <c r="J78" s="14"/>
      <c r="K78" s="14"/>
      <c r="L78" s="14"/>
    </row>
    <row r="79" spans="1:12" x14ac:dyDescent="0.25">
      <c r="A79" s="113" t="e">
        <f>IF(AND(Financiering_en_projectplan!G88&gt;0,Financiering_en_projectplan!$G$78&gt;20%),"Voeg eventueel contract, offerte of intentieverklaring toe van "&amp;Financiering_en_projectplan!B88&amp;"","")</f>
        <v>#DIV/0!</v>
      </c>
      <c r="B79" s="38"/>
      <c r="C79" s="38"/>
      <c r="D79" s="14"/>
      <c r="E79" s="14"/>
      <c r="F79" s="14"/>
      <c r="G79" s="14"/>
      <c r="H79" s="14"/>
      <c r="I79" s="14"/>
      <c r="J79" s="14"/>
      <c r="K79" s="14"/>
      <c r="L79" s="14"/>
    </row>
    <row r="80" spans="1:12" x14ac:dyDescent="0.25">
      <c r="A80" s="114" t="e">
        <f>IF(AND(Financiering_en_projectplan!G89&gt;0,Financiering_en_projectplan!$G$78&gt;20%),"Voeg eventueel contract, offerte of intentieverklaring toe van "&amp;Financiering_en_projectplan!B89&amp;"","")</f>
        <v>#DIV/0!</v>
      </c>
      <c r="B80" s="16"/>
      <c r="C80" s="16"/>
      <c r="D80" s="14"/>
      <c r="E80" s="14"/>
      <c r="F80" s="14"/>
      <c r="G80" s="14"/>
      <c r="H80" s="14"/>
      <c r="I80" s="14"/>
      <c r="J80" s="14"/>
      <c r="K80" s="14"/>
      <c r="L80" s="14"/>
    </row>
    <row r="81" spans="1:12" x14ac:dyDescent="0.25">
      <c r="A81" s="114" t="e">
        <f>IF(AND(Financiering_en_projectplan!G90&gt;0,Financiering_en_projectplan!$G$78&gt;20%),"Voeg eventueel contract, offerte of intentieverklaring toe van "&amp;Financiering_en_projectplan!B90&amp;"","")</f>
        <v>#DIV/0!</v>
      </c>
      <c r="B81" s="38"/>
      <c r="C81" s="38"/>
      <c r="D81" s="14"/>
      <c r="E81" s="14"/>
      <c r="F81" s="14"/>
      <c r="G81" s="14"/>
      <c r="H81" s="14"/>
      <c r="I81" s="14"/>
      <c r="J81" s="14"/>
      <c r="K81" s="14"/>
      <c r="L81" s="14"/>
    </row>
    <row r="82" spans="1:12" x14ac:dyDescent="0.25">
      <c r="A82" s="112" t="e">
        <f>IF(AND(Financiering_en_projectplan!G91&gt;0,Financiering_en_projectplan!$G$78&gt;20%),"Voeg eventueel contract, offerte of intentieverklaring toe van "&amp;Financiering_en_projectplan!B91&amp;"","")</f>
        <v>#DIV/0!</v>
      </c>
      <c r="B82" s="38"/>
      <c r="C82" s="38"/>
      <c r="D82" s="14"/>
      <c r="E82" s="14"/>
      <c r="F82" s="14"/>
      <c r="G82" s="14"/>
      <c r="H82" s="14"/>
      <c r="I82" s="14"/>
      <c r="J82" s="14"/>
      <c r="K82" s="14"/>
      <c r="L82" s="14"/>
    </row>
    <row r="83" spans="1:12" x14ac:dyDescent="0.25">
      <c r="A83" s="114" t="e">
        <f>IF(AND(Financiering_en_projectplan!G92&gt;0,Financiering_en_projectplan!$G$78&gt;20%),"Voeg eventueel contract, offerte of intentieverklaring toe van "&amp;Financiering_en_projectplan!B92&amp;"","")</f>
        <v>#DIV/0!</v>
      </c>
      <c r="B83" s="38"/>
      <c r="C83" s="38"/>
      <c r="D83" s="14"/>
      <c r="E83" s="14"/>
      <c r="F83" s="14"/>
      <c r="G83" s="14"/>
      <c r="H83" s="14"/>
      <c r="I83" s="14"/>
      <c r="J83" s="14"/>
      <c r="K83" s="14"/>
      <c r="L83" s="14"/>
    </row>
    <row r="84" spans="1:12" x14ac:dyDescent="0.25">
      <c r="A84" s="115" t="e">
        <f>IF(AND(Financiering_en_projectplan!G93&gt;0,Financiering_en_projectplan!$G$78&gt;20%),"Voeg eventueel contract, offerte of intentieverklaring toe van "&amp;Financiering_en_projectplan!B93&amp;"","")</f>
        <v>#DIV/0!</v>
      </c>
      <c r="B84" s="38"/>
      <c r="C84" s="38"/>
      <c r="D84" s="14"/>
      <c r="E84" s="14"/>
      <c r="F84" s="14"/>
      <c r="G84" s="14"/>
      <c r="H84" s="14"/>
      <c r="I84" s="14"/>
      <c r="J84" s="14"/>
      <c r="K84" s="14"/>
      <c r="L84" s="14"/>
    </row>
    <row r="85" spans="1:12" x14ac:dyDescent="0.25">
      <c r="B85" s="38"/>
      <c r="C85" s="38"/>
      <c r="D85" s="14"/>
      <c r="E85" s="14"/>
      <c r="F85" s="14"/>
      <c r="G85" s="14"/>
      <c r="H85" s="14"/>
      <c r="I85" s="14"/>
      <c r="J85" s="14"/>
      <c r="K85" s="14"/>
      <c r="L85" s="14"/>
    </row>
    <row r="86" spans="1:12" s="30" customFormat="1" ht="12.75" x14ac:dyDescent="0.2">
      <c r="B86" s="43"/>
      <c r="C86" s="43"/>
      <c r="D86" s="42"/>
      <c r="E86" s="42"/>
      <c r="F86" s="42"/>
      <c r="G86" s="42"/>
      <c r="H86" s="42"/>
      <c r="I86" s="42"/>
      <c r="J86" s="42"/>
      <c r="K86" s="42"/>
      <c r="L86" s="42"/>
    </row>
    <row r="87" spans="1:12" s="30" customFormat="1" ht="12.75" x14ac:dyDescent="0.2">
      <c r="B87" s="43"/>
      <c r="C87" s="43"/>
      <c r="D87" s="43"/>
      <c r="E87" s="43"/>
      <c r="F87" s="43"/>
      <c r="G87" s="43"/>
      <c r="H87" s="43"/>
      <c r="I87" s="43"/>
      <c r="J87" s="43"/>
      <c r="K87" s="43"/>
      <c r="L87" s="43"/>
    </row>
    <row r="88" spans="1:12" s="30" customFormat="1" ht="12.75" x14ac:dyDescent="0.2">
      <c r="A88" s="12"/>
      <c r="B88" s="16"/>
      <c r="C88" s="16"/>
    </row>
    <row r="89" spans="1:12" s="30" customFormat="1" ht="12.75" x14ac:dyDescent="0.2">
      <c r="B89" s="15"/>
      <c r="C89" s="15"/>
      <c r="D89" s="42"/>
      <c r="E89" s="57"/>
      <c r="F89" s="57"/>
      <c r="G89" s="57"/>
      <c r="H89" s="57"/>
      <c r="I89" s="57"/>
      <c r="J89" s="57"/>
      <c r="K89" s="57"/>
      <c r="L89" s="57"/>
    </row>
    <row r="90" spans="1:12" s="30" customFormat="1" x14ac:dyDescent="0.25">
      <c r="B90" s="15"/>
      <c r="C90" s="15"/>
      <c r="D90" s="42"/>
      <c r="E90" s="14"/>
      <c r="F90" s="57"/>
      <c r="G90" s="57"/>
      <c r="H90" s="57"/>
      <c r="I90" s="57"/>
      <c r="J90" s="57"/>
      <c r="K90" s="57"/>
      <c r="L90" s="57"/>
    </row>
    <row r="91" spans="1:12" s="30" customFormat="1" x14ac:dyDescent="0.25">
      <c r="B91" s="15"/>
      <c r="C91" s="15"/>
      <c r="D91" s="42"/>
      <c r="E91" s="14"/>
      <c r="F91" s="57"/>
      <c r="G91" s="57"/>
      <c r="H91" s="57"/>
      <c r="I91" s="57"/>
      <c r="J91" s="57"/>
      <c r="K91" s="57"/>
      <c r="L91" s="57"/>
    </row>
    <row r="92" spans="1:12" s="30" customFormat="1" x14ac:dyDescent="0.25">
      <c r="B92" s="15"/>
      <c r="C92" s="15"/>
      <c r="D92" s="42"/>
      <c r="E92" s="14"/>
      <c r="F92" s="57"/>
      <c r="G92" s="57"/>
      <c r="H92" s="57"/>
      <c r="I92" s="57"/>
      <c r="J92" s="57"/>
      <c r="K92" s="57"/>
      <c r="L92" s="57"/>
    </row>
    <row r="93" spans="1:12" s="30" customFormat="1" x14ac:dyDescent="0.25">
      <c r="B93" s="15"/>
      <c r="C93" s="15"/>
      <c r="D93" s="42"/>
      <c r="E93" s="14"/>
      <c r="F93" s="57"/>
      <c r="G93" s="57"/>
      <c r="H93" s="57"/>
      <c r="I93" s="57"/>
      <c r="J93" s="57"/>
      <c r="K93" s="57"/>
      <c r="L93" s="57"/>
    </row>
    <row r="94" spans="1:12" s="30" customFormat="1" x14ac:dyDescent="0.25">
      <c r="B94" s="15"/>
      <c r="C94" s="15"/>
      <c r="D94" s="42"/>
      <c r="E94" s="14"/>
      <c r="F94" s="57"/>
      <c r="G94" s="57"/>
      <c r="H94" s="57"/>
      <c r="I94" s="57"/>
      <c r="J94" s="57"/>
      <c r="K94" s="57"/>
      <c r="L94" s="57"/>
    </row>
    <row r="95" spans="1:12" s="30" customFormat="1" x14ac:dyDescent="0.25">
      <c r="B95" s="15"/>
      <c r="C95" s="15"/>
      <c r="D95" s="42"/>
      <c r="E95" s="14"/>
      <c r="F95" s="57"/>
      <c r="G95" s="57"/>
      <c r="H95" s="57"/>
      <c r="I95" s="57"/>
      <c r="J95" s="57"/>
      <c r="K95" s="57"/>
      <c r="L95" s="57"/>
    </row>
    <row r="96" spans="1:12" s="30" customFormat="1" x14ac:dyDescent="0.25">
      <c r="B96" s="15"/>
      <c r="C96" s="15"/>
      <c r="D96" s="42"/>
      <c r="E96" s="14"/>
      <c r="F96" s="57"/>
      <c r="G96" s="57"/>
      <c r="H96" s="57"/>
      <c r="I96" s="57"/>
      <c r="J96" s="57"/>
      <c r="K96" s="57"/>
      <c r="L96" s="57"/>
    </row>
    <row r="97" spans="1:13" s="30" customFormat="1" ht="12.75" x14ac:dyDescent="0.2">
      <c r="B97" s="43"/>
      <c r="C97" s="43"/>
      <c r="D97" s="42"/>
      <c r="E97" s="9"/>
      <c r="F97" s="42"/>
      <c r="G97" s="42"/>
      <c r="H97" s="42"/>
      <c r="I97" s="42"/>
      <c r="J97" s="42"/>
      <c r="K97" s="42"/>
      <c r="L97" s="42"/>
    </row>
    <row r="98" spans="1:13" s="30" customFormat="1" ht="12.75" x14ac:dyDescent="0.2">
      <c r="A98" s="12"/>
      <c r="B98" s="43"/>
      <c r="C98" s="43"/>
      <c r="D98" s="42"/>
      <c r="E98" s="42"/>
      <c r="F98" s="42"/>
      <c r="G98" s="42"/>
      <c r="H98" s="42"/>
      <c r="I98" s="42"/>
      <c r="J98" s="42"/>
      <c r="K98" s="42"/>
      <c r="L98" s="42"/>
    </row>
    <row r="99" spans="1:13" s="30" customFormat="1" ht="12.75" x14ac:dyDescent="0.2">
      <c r="B99" s="43"/>
      <c r="C99" s="43"/>
      <c r="D99" s="42"/>
      <c r="E99" s="42"/>
      <c r="F99" s="42"/>
      <c r="G99" s="42"/>
      <c r="H99" s="42"/>
      <c r="I99" s="42"/>
      <c r="J99" s="42"/>
      <c r="K99" s="42"/>
      <c r="L99" s="42"/>
    </row>
    <row r="100" spans="1:13" s="30" customFormat="1" ht="12.75" x14ac:dyDescent="0.2">
      <c r="B100" s="43"/>
      <c r="C100" s="43"/>
      <c r="D100" s="43"/>
      <c r="E100" s="43"/>
      <c r="F100" s="43"/>
      <c r="G100" s="43"/>
      <c r="H100" s="43"/>
      <c r="I100" s="43"/>
      <c r="J100" s="43"/>
      <c r="K100" s="43"/>
      <c r="L100" s="43"/>
    </row>
    <row r="101" spans="1:13" x14ac:dyDescent="0.25">
      <c r="A101" s="12"/>
      <c r="D101" s="14"/>
      <c r="E101" s="14"/>
      <c r="F101" s="14"/>
      <c r="G101" s="14"/>
      <c r="H101" s="14"/>
      <c r="I101" s="14"/>
      <c r="J101" s="14"/>
      <c r="K101" s="14"/>
      <c r="L101" s="14"/>
      <c r="M101" s="38"/>
    </row>
    <row r="102" spans="1:13" hidden="1" x14ac:dyDescent="0.25">
      <c r="A102" s="12"/>
      <c r="D102" s="14"/>
      <c r="E102" s="14"/>
      <c r="F102" s="14"/>
      <c r="G102" s="14"/>
      <c r="H102" s="14"/>
      <c r="I102" s="14"/>
      <c r="J102" s="14"/>
      <c r="K102" s="14"/>
      <c r="L102" s="14"/>
    </row>
    <row r="103" spans="1:13" hidden="1" x14ac:dyDescent="0.25">
      <c r="A103" s="12"/>
      <c r="D103" s="14"/>
      <c r="E103" s="14"/>
      <c r="F103" s="14"/>
      <c r="G103" s="14"/>
      <c r="H103" s="14"/>
      <c r="I103" s="14"/>
      <c r="J103" s="14"/>
      <c r="K103" s="14"/>
      <c r="L103" s="14"/>
      <c r="M103" s="14"/>
    </row>
    <row r="104" spans="1:13" hidden="1" x14ac:dyDescent="0.25">
      <c r="A104" s="12"/>
      <c r="D104" s="14"/>
      <c r="E104" s="14"/>
      <c r="F104" s="14"/>
      <c r="G104" s="14"/>
      <c r="H104" s="14"/>
      <c r="I104" s="14"/>
      <c r="J104" s="14"/>
      <c r="K104" s="14"/>
      <c r="L104" s="14"/>
      <c r="M104" s="14"/>
    </row>
    <row r="105" spans="1:13" hidden="1" x14ac:dyDescent="0.25">
      <c r="A105" s="12"/>
      <c r="D105" s="14"/>
      <c r="E105" s="14"/>
      <c r="F105" s="14"/>
      <c r="G105" s="14"/>
      <c r="H105" s="14"/>
      <c r="I105" s="14"/>
      <c r="J105" s="14"/>
      <c r="K105" s="14"/>
      <c r="L105" s="14"/>
      <c r="M105" s="14"/>
    </row>
    <row r="106" spans="1:13" hidden="1" x14ac:dyDescent="0.25">
      <c r="A106" s="12"/>
      <c r="D106" s="14"/>
      <c r="E106" s="14"/>
      <c r="F106" s="14"/>
      <c r="G106" s="14"/>
      <c r="H106" s="14"/>
      <c r="I106" s="14"/>
      <c r="J106" s="14"/>
      <c r="K106" s="14"/>
      <c r="L106" s="14"/>
      <c r="M106" s="14"/>
    </row>
    <row r="107" spans="1:13" x14ac:dyDescent="0.25">
      <c r="A107" s="12"/>
      <c r="B107" s="62"/>
      <c r="C107" s="62"/>
      <c r="D107" s="14"/>
      <c r="E107" s="14"/>
      <c r="F107" s="14"/>
      <c r="G107" s="14"/>
      <c r="H107" s="14"/>
      <c r="I107" s="14"/>
      <c r="J107" s="14"/>
      <c r="K107" s="14"/>
      <c r="L107" s="14"/>
      <c r="M107" s="14"/>
    </row>
    <row r="108" spans="1:13" x14ac:dyDescent="0.25">
      <c r="A108" s="12"/>
      <c r="B108" s="69"/>
      <c r="C108" s="69"/>
      <c r="D108" s="14"/>
      <c r="E108" s="14"/>
      <c r="F108" s="14"/>
      <c r="G108" s="14"/>
      <c r="H108" s="14"/>
      <c r="I108" s="14"/>
      <c r="J108" s="14"/>
      <c r="K108" s="14"/>
      <c r="L108" s="14"/>
      <c r="M108" s="14"/>
    </row>
    <row r="109" spans="1:13" x14ac:dyDescent="0.25">
      <c r="A109" s="12"/>
      <c r="D109" s="14"/>
      <c r="E109" s="14"/>
      <c r="F109" s="14"/>
      <c r="G109" s="14"/>
      <c r="H109" s="14"/>
      <c r="I109" s="14"/>
      <c r="J109" s="14"/>
      <c r="K109" s="14"/>
      <c r="L109" s="14"/>
      <c r="M109" s="14"/>
    </row>
    <row r="110" spans="1:13" s="30" customFormat="1" ht="12.75" x14ac:dyDescent="0.2">
      <c r="A110" s="66"/>
      <c r="D110" s="42"/>
      <c r="E110" s="42"/>
      <c r="F110" s="42"/>
      <c r="G110" s="42"/>
      <c r="H110" s="42"/>
      <c r="I110" s="42"/>
      <c r="J110" s="42"/>
      <c r="K110" s="42"/>
      <c r="L110" s="42"/>
    </row>
    <row r="111" spans="1:13" s="30" customFormat="1" ht="12.75" x14ac:dyDescent="0.2">
      <c r="D111" s="42"/>
      <c r="E111" s="42"/>
      <c r="F111" s="42"/>
      <c r="G111" s="42"/>
      <c r="H111" s="42"/>
      <c r="I111" s="42"/>
      <c r="J111" s="42"/>
      <c r="K111" s="42"/>
      <c r="L111" s="42"/>
    </row>
    <row r="112" spans="1:13" s="30" customFormat="1" ht="12.75" x14ac:dyDescent="0.2">
      <c r="D112" s="42"/>
      <c r="E112" s="42"/>
      <c r="F112" s="42"/>
      <c r="G112" s="42"/>
      <c r="H112" s="42"/>
      <c r="I112" s="42"/>
      <c r="J112" s="42"/>
      <c r="K112" s="42"/>
      <c r="L112" s="42"/>
    </row>
    <row r="113" spans="1:16" s="30" customFormat="1" ht="12.75" x14ac:dyDescent="0.2">
      <c r="D113" s="42"/>
      <c r="E113" s="42"/>
      <c r="F113" s="42"/>
      <c r="G113" s="42"/>
      <c r="H113" s="42"/>
      <c r="I113" s="42"/>
      <c r="J113" s="42"/>
      <c r="K113" s="42"/>
      <c r="L113" s="42"/>
    </row>
    <row r="114" spans="1:16" x14ac:dyDescent="0.25">
      <c r="A114" s="12"/>
      <c r="D114" s="14"/>
      <c r="E114" s="14"/>
      <c r="F114" s="14"/>
      <c r="G114" s="14"/>
      <c r="H114" s="14"/>
      <c r="I114" s="14"/>
      <c r="J114" s="14"/>
      <c r="K114" s="14"/>
      <c r="L114" s="14"/>
    </row>
    <row r="115" spans="1:16" x14ac:dyDescent="0.25">
      <c r="A115" s="12"/>
      <c r="D115" s="14"/>
      <c r="E115" s="14"/>
      <c r="F115" s="14"/>
      <c r="G115" s="14"/>
      <c r="H115" s="14"/>
      <c r="I115" s="14"/>
      <c r="J115" s="14"/>
      <c r="K115" s="14"/>
      <c r="L115" s="14"/>
    </row>
    <row r="116" spans="1:16" x14ac:dyDescent="0.25">
      <c r="A116" s="12"/>
      <c r="D116" s="14"/>
      <c r="E116" s="14"/>
      <c r="F116" s="14"/>
      <c r="G116" s="14"/>
      <c r="H116" s="14"/>
      <c r="I116" s="14"/>
      <c r="J116" s="14"/>
      <c r="K116" s="14"/>
      <c r="L116" s="14"/>
    </row>
    <row r="117" spans="1:16" s="30" customFormat="1" ht="12.75" x14ac:dyDescent="0.2">
      <c r="D117" s="42"/>
      <c r="E117" s="42"/>
      <c r="F117" s="42"/>
      <c r="G117" s="42"/>
      <c r="H117" s="42"/>
      <c r="I117" s="42"/>
      <c r="J117" s="42"/>
      <c r="K117" s="42"/>
      <c r="L117" s="42"/>
    </row>
    <row r="118" spans="1:16" x14ac:dyDescent="0.25">
      <c r="D118" s="14"/>
      <c r="E118" s="14"/>
      <c r="F118" s="14"/>
      <c r="G118" s="14"/>
      <c r="H118" s="14"/>
      <c r="I118" s="14"/>
      <c r="J118" s="14"/>
      <c r="K118" s="14"/>
      <c r="L118" s="14"/>
    </row>
    <row r="119" spans="1:16" x14ac:dyDescent="0.25">
      <c r="A119" s="12"/>
      <c r="D119" s="14"/>
      <c r="E119" s="14"/>
      <c r="F119" s="14"/>
      <c r="G119" s="14"/>
      <c r="H119" s="14"/>
      <c r="I119" s="14"/>
      <c r="J119" s="14"/>
      <c r="K119" s="14"/>
      <c r="L119" s="14"/>
    </row>
    <row r="120" spans="1:16" x14ac:dyDescent="0.25">
      <c r="D120" s="14"/>
      <c r="E120" s="14"/>
      <c r="F120" s="14"/>
      <c r="G120" s="14"/>
      <c r="H120" s="14"/>
      <c r="I120" s="14"/>
      <c r="J120" s="14"/>
      <c r="K120" s="14"/>
      <c r="L120" s="14"/>
    </row>
    <row r="121" spans="1:16" x14ac:dyDescent="0.25">
      <c r="D121" s="14"/>
      <c r="E121" s="14"/>
      <c r="F121" s="14"/>
      <c r="G121" s="14"/>
      <c r="H121" s="14"/>
      <c r="I121" s="14"/>
      <c r="J121" s="14"/>
      <c r="K121" s="14"/>
      <c r="L121" s="14"/>
    </row>
    <row r="122" spans="1:16" s="30" customFormat="1" ht="12.75" x14ac:dyDescent="0.2">
      <c r="D122" s="42"/>
      <c r="E122" s="42"/>
      <c r="F122" s="42"/>
      <c r="G122" s="42"/>
      <c r="H122" s="42"/>
      <c r="I122" s="42"/>
      <c r="J122" s="42"/>
      <c r="K122" s="42"/>
      <c r="L122" s="42"/>
    </row>
    <row r="123" spans="1:16" s="30" customFormat="1" ht="12.75" x14ac:dyDescent="0.2">
      <c r="D123" s="42"/>
      <c r="E123" s="42"/>
      <c r="F123" s="42"/>
      <c r="G123" s="42"/>
      <c r="H123" s="42"/>
      <c r="I123" s="42"/>
      <c r="J123" s="42"/>
      <c r="K123" s="42"/>
      <c r="L123" s="42"/>
    </row>
    <row r="124" spans="1:16" s="30" customFormat="1" ht="12.75" x14ac:dyDescent="0.2">
      <c r="D124" s="42"/>
      <c r="E124" s="42"/>
      <c r="F124" s="42"/>
      <c r="G124" s="42"/>
      <c r="H124" s="42"/>
      <c r="I124" s="42"/>
      <c r="J124" s="42"/>
      <c r="K124" s="42"/>
      <c r="L124" s="42"/>
      <c r="M124" s="43"/>
      <c r="N124" s="43"/>
      <c r="O124" s="43"/>
      <c r="P124" s="43"/>
    </row>
    <row r="125" spans="1:16" x14ac:dyDescent="0.25">
      <c r="D125" s="14"/>
      <c r="E125" s="14"/>
      <c r="F125" s="14"/>
      <c r="G125" s="14"/>
      <c r="H125" s="14"/>
      <c r="I125" s="14"/>
      <c r="J125" s="14"/>
      <c r="K125" s="14"/>
      <c r="L125" s="14"/>
    </row>
    <row r="126" spans="1:16" ht="24.95" customHeight="1" x14ac:dyDescent="0.25">
      <c r="A126" s="72"/>
      <c r="B126" s="73"/>
      <c r="C126" s="73"/>
      <c r="D126" s="77"/>
      <c r="E126" s="78"/>
      <c r="F126" s="78"/>
      <c r="G126" s="78"/>
      <c r="H126" s="78"/>
      <c r="I126" s="78"/>
      <c r="J126" s="78"/>
      <c r="K126" s="78"/>
      <c r="L126" s="78"/>
    </row>
    <row r="129" spans="1:12" x14ac:dyDescent="0.25">
      <c r="A129" s="30"/>
      <c r="D129" s="42"/>
      <c r="E129" s="42"/>
      <c r="F129" s="42"/>
      <c r="G129" s="42"/>
      <c r="H129" s="42"/>
      <c r="I129" s="42"/>
      <c r="J129" s="42"/>
      <c r="K129" s="42"/>
      <c r="L129" s="42"/>
    </row>
    <row r="131" spans="1:12" ht="24.75" customHeight="1" x14ac:dyDescent="0.25">
      <c r="A131" s="72"/>
      <c r="B131" s="72"/>
      <c r="C131" s="72"/>
      <c r="E131" s="80"/>
    </row>
    <row r="134" spans="1:12" x14ac:dyDescent="0.25">
      <c r="A134" s="30"/>
      <c r="E134" s="81"/>
      <c r="F134" s="81"/>
      <c r="G134" s="81"/>
      <c r="H134" s="81"/>
      <c r="I134" s="81"/>
      <c r="J134" s="81"/>
      <c r="K134" s="81"/>
      <c r="L134" s="81"/>
    </row>
    <row r="136" spans="1:12" ht="24.75" customHeight="1" x14ac:dyDescent="0.25">
      <c r="A136" s="72"/>
    </row>
    <row r="139" spans="1:12" x14ac:dyDescent="0.25">
      <c r="A139" s="30"/>
    </row>
    <row r="140" spans="1:12" x14ac:dyDescent="0.25">
      <c r="A140" s="407"/>
      <c r="B140" s="407"/>
      <c r="C140" s="12"/>
    </row>
    <row r="141" spans="1:12" x14ac:dyDescent="0.25">
      <c r="A141" s="379"/>
      <c r="B141" s="379"/>
      <c r="C141" s="4"/>
    </row>
    <row r="142" spans="1:12" x14ac:dyDescent="0.25">
      <c r="A142" s="379"/>
      <c r="B142" s="379"/>
      <c r="C142" s="4"/>
    </row>
    <row r="143" spans="1:12" x14ac:dyDescent="0.25">
      <c r="A143" s="379"/>
      <c r="B143" s="379"/>
      <c r="C143" s="4"/>
    </row>
    <row r="144" spans="1:12" x14ac:dyDescent="0.25">
      <c r="A144" s="379"/>
      <c r="B144" s="379"/>
      <c r="C144" s="4"/>
    </row>
    <row r="145" spans="1:3" x14ac:dyDescent="0.25">
      <c r="A145" s="379"/>
      <c r="B145" s="379"/>
      <c r="C145" s="4"/>
    </row>
    <row r="146" spans="1:3" x14ac:dyDescent="0.25">
      <c r="A146" s="379"/>
      <c r="B146" s="379"/>
      <c r="C146" s="4"/>
    </row>
  </sheetData>
  <sheetProtection algorithmName="SHA-512" hashValue="6VBCF4OTqt4uYXrPdWaIsZyAMWjoVr5hEREWzsfrCTK3lIWHtaSz3/ghTR9GnDZ+LF4E9wpDp9Y6723UBIOHvA==" saltValue="Llir3ZoTvsu3sRM5Oy0juw==" spinCount="100000" sheet="1" objects="1" scenarios="1"/>
  <mergeCells count="7">
    <mergeCell ref="A146:B146"/>
    <mergeCell ref="A140:B140"/>
    <mergeCell ref="A141:B141"/>
    <mergeCell ref="A142:B142"/>
    <mergeCell ref="A143:B143"/>
    <mergeCell ref="A144:B144"/>
    <mergeCell ref="A145:B145"/>
  </mergeCells>
  <pageMargins left="0.7" right="0.7" top="0.75" bottom="0.75" header="0.3" footer="0.3"/>
  <ignoredErrors>
    <ignoredError sqref="A47:A48 A75:A84 A39:A46" evalError="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2B00B-0B8A-4D4B-B96C-6B2E39F3BD56}">
  <dimension ref="A1:AN304"/>
  <sheetViews>
    <sheetView topLeftCell="A267" zoomScale="75" zoomScaleNormal="75" workbookViewId="0">
      <pane xSplit="1" topLeftCell="Y1" activePane="topRight" state="frozen"/>
      <selection activeCell="A203" sqref="A203"/>
      <selection pane="topRight" activeCell="Y298" sqref="Y298"/>
    </sheetView>
  </sheetViews>
  <sheetFormatPr defaultRowHeight="12.75" x14ac:dyDescent="0.2"/>
  <cols>
    <col min="1" max="1" width="147.85546875" style="117" customWidth="1"/>
    <col min="2" max="3" width="29.85546875" style="117" customWidth="1"/>
    <col min="4" max="4" width="26.7109375" style="117" customWidth="1"/>
    <col min="5" max="5" width="26.5703125" style="117" customWidth="1"/>
    <col min="6" max="6" width="25.7109375" style="117" customWidth="1"/>
    <col min="7" max="7" width="28.5703125" style="117" customWidth="1"/>
    <col min="8" max="8" width="27.7109375" style="117" customWidth="1"/>
    <col min="9" max="17" width="25.7109375" style="117" customWidth="1"/>
    <col min="18" max="18" width="29.7109375" style="117" customWidth="1"/>
    <col min="19" max="19" width="25.7109375" style="117" customWidth="1"/>
    <col min="20" max="20" width="44.7109375" style="117" customWidth="1"/>
    <col min="21" max="21" width="25.7109375" style="117" customWidth="1"/>
    <col min="22" max="22" width="32.140625" style="117" customWidth="1"/>
    <col min="23" max="23" width="38.28515625" style="117" customWidth="1"/>
    <col min="24" max="24" width="32.7109375" style="117" customWidth="1"/>
    <col min="25" max="25" width="124.5703125" style="117" customWidth="1"/>
    <col min="26" max="26" width="25.7109375" style="117" customWidth="1"/>
    <col min="27" max="27" width="90.140625" style="117" customWidth="1"/>
    <col min="28" max="28" width="39.85546875" style="117" customWidth="1"/>
    <col min="29" max="29" width="32.42578125" style="117" customWidth="1"/>
    <col min="30" max="30" width="31.5703125" style="117" customWidth="1"/>
    <col min="31" max="31" width="92.5703125" style="117" customWidth="1"/>
    <col min="32" max="32" width="32.5703125" style="117" customWidth="1"/>
    <col min="33" max="33" width="32.140625" style="117" customWidth="1"/>
    <col min="34" max="34" width="51.85546875" style="117" customWidth="1"/>
    <col min="35" max="256" width="9.140625" style="117"/>
    <col min="257" max="257" width="155.28515625" style="117" customWidth="1"/>
    <col min="258" max="259" width="29.85546875" style="117" customWidth="1"/>
    <col min="260" max="260" width="26.7109375" style="117" customWidth="1"/>
    <col min="261" max="261" width="26.5703125" style="117" customWidth="1"/>
    <col min="262" max="262" width="25.7109375" style="117" customWidth="1"/>
    <col min="263" max="263" width="28.5703125" style="117" customWidth="1"/>
    <col min="264" max="264" width="27.7109375" style="117" customWidth="1"/>
    <col min="265" max="273" width="25.7109375" style="117" customWidth="1"/>
    <col min="274" max="274" width="29.7109375" style="117" customWidth="1"/>
    <col min="275" max="275" width="25.7109375" style="117" customWidth="1"/>
    <col min="276" max="276" width="44.7109375" style="117" customWidth="1"/>
    <col min="277" max="277" width="25.7109375" style="117" customWidth="1"/>
    <col min="278" max="278" width="32.140625" style="117" customWidth="1"/>
    <col min="279" max="279" width="38.28515625" style="117" customWidth="1"/>
    <col min="280" max="280" width="32.7109375" style="117" customWidth="1"/>
    <col min="281" max="281" width="61" style="117" customWidth="1"/>
    <col min="282" max="282" width="25.7109375" style="117" customWidth="1"/>
    <col min="283" max="283" width="206.85546875" style="117" customWidth="1"/>
    <col min="284" max="284" width="71.140625" style="117" customWidth="1"/>
    <col min="285" max="285" width="13.5703125" style="117" customWidth="1"/>
    <col min="286" max="512" width="9.140625" style="117"/>
    <col min="513" max="513" width="155.28515625" style="117" customWidth="1"/>
    <col min="514" max="515" width="29.85546875" style="117" customWidth="1"/>
    <col min="516" max="516" width="26.7109375" style="117" customWidth="1"/>
    <col min="517" max="517" width="26.5703125" style="117" customWidth="1"/>
    <col min="518" max="518" width="25.7109375" style="117" customWidth="1"/>
    <col min="519" max="519" width="28.5703125" style="117" customWidth="1"/>
    <col min="520" max="520" width="27.7109375" style="117" customWidth="1"/>
    <col min="521" max="529" width="25.7109375" style="117" customWidth="1"/>
    <col min="530" max="530" width="29.7109375" style="117" customWidth="1"/>
    <col min="531" max="531" width="25.7109375" style="117" customWidth="1"/>
    <col min="532" max="532" width="44.7109375" style="117" customWidth="1"/>
    <col min="533" max="533" width="25.7109375" style="117" customWidth="1"/>
    <col min="534" max="534" width="32.140625" style="117" customWidth="1"/>
    <col min="535" max="535" width="38.28515625" style="117" customWidth="1"/>
    <col min="536" max="536" width="32.7109375" style="117" customWidth="1"/>
    <col min="537" max="537" width="61" style="117" customWidth="1"/>
    <col min="538" max="538" width="25.7109375" style="117" customWidth="1"/>
    <col min="539" max="539" width="206.85546875" style="117" customWidth="1"/>
    <col min="540" max="540" width="71.140625" style="117" customWidth="1"/>
    <col min="541" max="541" width="13.5703125" style="117" customWidth="1"/>
    <col min="542" max="768" width="9.140625" style="117"/>
    <col min="769" max="769" width="155.28515625" style="117" customWidth="1"/>
    <col min="770" max="771" width="29.85546875" style="117" customWidth="1"/>
    <col min="772" max="772" width="26.7109375" style="117" customWidth="1"/>
    <col min="773" max="773" width="26.5703125" style="117" customWidth="1"/>
    <col min="774" max="774" width="25.7109375" style="117" customWidth="1"/>
    <col min="775" max="775" width="28.5703125" style="117" customWidth="1"/>
    <col min="776" max="776" width="27.7109375" style="117" customWidth="1"/>
    <col min="777" max="785" width="25.7109375" style="117" customWidth="1"/>
    <col min="786" max="786" width="29.7109375" style="117" customWidth="1"/>
    <col min="787" max="787" width="25.7109375" style="117" customWidth="1"/>
    <col min="788" max="788" width="44.7109375" style="117" customWidth="1"/>
    <col min="789" max="789" width="25.7109375" style="117" customWidth="1"/>
    <col min="790" max="790" width="32.140625" style="117" customWidth="1"/>
    <col min="791" max="791" width="38.28515625" style="117" customWidth="1"/>
    <col min="792" max="792" width="32.7109375" style="117" customWidth="1"/>
    <col min="793" max="793" width="61" style="117" customWidth="1"/>
    <col min="794" max="794" width="25.7109375" style="117" customWidth="1"/>
    <col min="795" max="795" width="206.85546875" style="117" customWidth="1"/>
    <col min="796" max="796" width="71.140625" style="117" customWidth="1"/>
    <col min="797" max="797" width="13.5703125" style="117" customWidth="1"/>
    <col min="798" max="1024" width="9.140625" style="117"/>
    <col min="1025" max="1025" width="155.28515625" style="117" customWidth="1"/>
    <col min="1026" max="1027" width="29.85546875" style="117" customWidth="1"/>
    <col min="1028" max="1028" width="26.7109375" style="117" customWidth="1"/>
    <col min="1029" max="1029" width="26.5703125" style="117" customWidth="1"/>
    <col min="1030" max="1030" width="25.7109375" style="117" customWidth="1"/>
    <col min="1031" max="1031" width="28.5703125" style="117" customWidth="1"/>
    <col min="1032" max="1032" width="27.7109375" style="117" customWidth="1"/>
    <col min="1033" max="1041" width="25.7109375" style="117" customWidth="1"/>
    <col min="1042" max="1042" width="29.7109375" style="117" customWidth="1"/>
    <col min="1043" max="1043" width="25.7109375" style="117" customWidth="1"/>
    <col min="1044" max="1044" width="44.7109375" style="117" customWidth="1"/>
    <col min="1045" max="1045" width="25.7109375" style="117" customWidth="1"/>
    <col min="1046" max="1046" width="32.140625" style="117" customWidth="1"/>
    <col min="1047" max="1047" width="38.28515625" style="117" customWidth="1"/>
    <col min="1048" max="1048" width="32.7109375" style="117" customWidth="1"/>
    <col min="1049" max="1049" width="61" style="117" customWidth="1"/>
    <col min="1050" max="1050" width="25.7109375" style="117" customWidth="1"/>
    <col min="1051" max="1051" width="206.85546875" style="117" customWidth="1"/>
    <col min="1052" max="1052" width="71.140625" style="117" customWidth="1"/>
    <col min="1053" max="1053" width="13.5703125" style="117" customWidth="1"/>
    <col min="1054" max="1280" width="9.140625" style="117"/>
    <col min="1281" max="1281" width="155.28515625" style="117" customWidth="1"/>
    <col min="1282" max="1283" width="29.85546875" style="117" customWidth="1"/>
    <col min="1284" max="1284" width="26.7109375" style="117" customWidth="1"/>
    <col min="1285" max="1285" width="26.5703125" style="117" customWidth="1"/>
    <col min="1286" max="1286" width="25.7109375" style="117" customWidth="1"/>
    <col min="1287" max="1287" width="28.5703125" style="117" customWidth="1"/>
    <col min="1288" max="1288" width="27.7109375" style="117" customWidth="1"/>
    <col min="1289" max="1297" width="25.7109375" style="117" customWidth="1"/>
    <col min="1298" max="1298" width="29.7109375" style="117" customWidth="1"/>
    <col min="1299" max="1299" width="25.7109375" style="117" customWidth="1"/>
    <col min="1300" max="1300" width="44.7109375" style="117" customWidth="1"/>
    <col min="1301" max="1301" width="25.7109375" style="117" customWidth="1"/>
    <col min="1302" max="1302" width="32.140625" style="117" customWidth="1"/>
    <col min="1303" max="1303" width="38.28515625" style="117" customWidth="1"/>
    <col min="1304" max="1304" width="32.7109375" style="117" customWidth="1"/>
    <col min="1305" max="1305" width="61" style="117" customWidth="1"/>
    <col min="1306" max="1306" width="25.7109375" style="117" customWidth="1"/>
    <col min="1307" max="1307" width="206.85546875" style="117" customWidth="1"/>
    <col min="1308" max="1308" width="71.140625" style="117" customWidth="1"/>
    <col min="1309" max="1309" width="13.5703125" style="117" customWidth="1"/>
    <col min="1310" max="1536" width="9.140625" style="117"/>
    <col min="1537" max="1537" width="155.28515625" style="117" customWidth="1"/>
    <col min="1538" max="1539" width="29.85546875" style="117" customWidth="1"/>
    <col min="1540" max="1540" width="26.7109375" style="117" customWidth="1"/>
    <col min="1541" max="1541" width="26.5703125" style="117" customWidth="1"/>
    <col min="1542" max="1542" width="25.7109375" style="117" customWidth="1"/>
    <col min="1543" max="1543" width="28.5703125" style="117" customWidth="1"/>
    <col min="1544" max="1544" width="27.7109375" style="117" customWidth="1"/>
    <col min="1545" max="1553" width="25.7109375" style="117" customWidth="1"/>
    <col min="1554" max="1554" width="29.7109375" style="117" customWidth="1"/>
    <col min="1555" max="1555" width="25.7109375" style="117" customWidth="1"/>
    <col min="1556" max="1556" width="44.7109375" style="117" customWidth="1"/>
    <col min="1557" max="1557" width="25.7109375" style="117" customWidth="1"/>
    <col min="1558" max="1558" width="32.140625" style="117" customWidth="1"/>
    <col min="1559" max="1559" width="38.28515625" style="117" customWidth="1"/>
    <col min="1560" max="1560" width="32.7109375" style="117" customWidth="1"/>
    <col min="1561" max="1561" width="61" style="117" customWidth="1"/>
    <col min="1562" max="1562" width="25.7109375" style="117" customWidth="1"/>
    <col min="1563" max="1563" width="206.85546875" style="117" customWidth="1"/>
    <col min="1564" max="1564" width="71.140625" style="117" customWidth="1"/>
    <col min="1565" max="1565" width="13.5703125" style="117" customWidth="1"/>
    <col min="1566" max="1792" width="9.140625" style="117"/>
    <col min="1793" max="1793" width="155.28515625" style="117" customWidth="1"/>
    <col min="1794" max="1795" width="29.85546875" style="117" customWidth="1"/>
    <col min="1796" max="1796" width="26.7109375" style="117" customWidth="1"/>
    <col min="1797" max="1797" width="26.5703125" style="117" customWidth="1"/>
    <col min="1798" max="1798" width="25.7109375" style="117" customWidth="1"/>
    <col min="1799" max="1799" width="28.5703125" style="117" customWidth="1"/>
    <col min="1800" max="1800" width="27.7109375" style="117" customWidth="1"/>
    <col min="1801" max="1809" width="25.7109375" style="117" customWidth="1"/>
    <col min="1810" max="1810" width="29.7109375" style="117" customWidth="1"/>
    <col min="1811" max="1811" width="25.7109375" style="117" customWidth="1"/>
    <col min="1812" max="1812" width="44.7109375" style="117" customWidth="1"/>
    <col min="1813" max="1813" width="25.7109375" style="117" customWidth="1"/>
    <col min="1814" max="1814" width="32.140625" style="117" customWidth="1"/>
    <col min="1815" max="1815" width="38.28515625" style="117" customWidth="1"/>
    <col min="1816" max="1816" width="32.7109375" style="117" customWidth="1"/>
    <col min="1817" max="1817" width="61" style="117" customWidth="1"/>
    <col min="1818" max="1818" width="25.7109375" style="117" customWidth="1"/>
    <col min="1819" max="1819" width="206.85546875" style="117" customWidth="1"/>
    <col min="1820" max="1820" width="71.140625" style="117" customWidth="1"/>
    <col min="1821" max="1821" width="13.5703125" style="117" customWidth="1"/>
    <col min="1822" max="2048" width="9.140625" style="117"/>
    <col min="2049" max="2049" width="155.28515625" style="117" customWidth="1"/>
    <col min="2050" max="2051" width="29.85546875" style="117" customWidth="1"/>
    <col min="2052" max="2052" width="26.7109375" style="117" customWidth="1"/>
    <col min="2053" max="2053" width="26.5703125" style="117" customWidth="1"/>
    <col min="2054" max="2054" width="25.7109375" style="117" customWidth="1"/>
    <col min="2055" max="2055" width="28.5703125" style="117" customWidth="1"/>
    <col min="2056" max="2056" width="27.7109375" style="117" customWidth="1"/>
    <col min="2057" max="2065" width="25.7109375" style="117" customWidth="1"/>
    <col min="2066" max="2066" width="29.7109375" style="117" customWidth="1"/>
    <col min="2067" max="2067" width="25.7109375" style="117" customWidth="1"/>
    <col min="2068" max="2068" width="44.7109375" style="117" customWidth="1"/>
    <col min="2069" max="2069" width="25.7109375" style="117" customWidth="1"/>
    <col min="2070" max="2070" width="32.140625" style="117" customWidth="1"/>
    <col min="2071" max="2071" width="38.28515625" style="117" customWidth="1"/>
    <col min="2072" max="2072" width="32.7109375" style="117" customWidth="1"/>
    <col min="2073" max="2073" width="61" style="117" customWidth="1"/>
    <col min="2074" max="2074" width="25.7109375" style="117" customWidth="1"/>
    <col min="2075" max="2075" width="206.85546875" style="117" customWidth="1"/>
    <col min="2076" max="2076" width="71.140625" style="117" customWidth="1"/>
    <col min="2077" max="2077" width="13.5703125" style="117" customWidth="1"/>
    <col min="2078" max="2304" width="9.140625" style="117"/>
    <col min="2305" max="2305" width="155.28515625" style="117" customWidth="1"/>
    <col min="2306" max="2307" width="29.85546875" style="117" customWidth="1"/>
    <col min="2308" max="2308" width="26.7109375" style="117" customWidth="1"/>
    <col min="2309" max="2309" width="26.5703125" style="117" customWidth="1"/>
    <col min="2310" max="2310" width="25.7109375" style="117" customWidth="1"/>
    <col min="2311" max="2311" width="28.5703125" style="117" customWidth="1"/>
    <col min="2312" max="2312" width="27.7109375" style="117" customWidth="1"/>
    <col min="2313" max="2321" width="25.7109375" style="117" customWidth="1"/>
    <col min="2322" max="2322" width="29.7109375" style="117" customWidth="1"/>
    <col min="2323" max="2323" width="25.7109375" style="117" customWidth="1"/>
    <col min="2324" max="2324" width="44.7109375" style="117" customWidth="1"/>
    <col min="2325" max="2325" width="25.7109375" style="117" customWidth="1"/>
    <col min="2326" max="2326" width="32.140625" style="117" customWidth="1"/>
    <col min="2327" max="2327" width="38.28515625" style="117" customWidth="1"/>
    <col min="2328" max="2328" width="32.7109375" style="117" customWidth="1"/>
    <col min="2329" max="2329" width="61" style="117" customWidth="1"/>
    <col min="2330" max="2330" width="25.7109375" style="117" customWidth="1"/>
    <col min="2331" max="2331" width="206.85546875" style="117" customWidth="1"/>
    <col min="2332" max="2332" width="71.140625" style="117" customWidth="1"/>
    <col min="2333" max="2333" width="13.5703125" style="117" customWidth="1"/>
    <col min="2334" max="2560" width="9.140625" style="117"/>
    <col min="2561" max="2561" width="155.28515625" style="117" customWidth="1"/>
    <col min="2562" max="2563" width="29.85546875" style="117" customWidth="1"/>
    <col min="2564" max="2564" width="26.7109375" style="117" customWidth="1"/>
    <col min="2565" max="2565" width="26.5703125" style="117" customWidth="1"/>
    <col min="2566" max="2566" width="25.7109375" style="117" customWidth="1"/>
    <col min="2567" max="2567" width="28.5703125" style="117" customWidth="1"/>
    <col min="2568" max="2568" width="27.7109375" style="117" customWidth="1"/>
    <col min="2569" max="2577" width="25.7109375" style="117" customWidth="1"/>
    <col min="2578" max="2578" width="29.7109375" style="117" customWidth="1"/>
    <col min="2579" max="2579" width="25.7109375" style="117" customWidth="1"/>
    <col min="2580" max="2580" width="44.7109375" style="117" customWidth="1"/>
    <col min="2581" max="2581" width="25.7109375" style="117" customWidth="1"/>
    <col min="2582" max="2582" width="32.140625" style="117" customWidth="1"/>
    <col min="2583" max="2583" width="38.28515625" style="117" customWidth="1"/>
    <col min="2584" max="2584" width="32.7109375" style="117" customWidth="1"/>
    <col min="2585" max="2585" width="61" style="117" customWidth="1"/>
    <col min="2586" max="2586" width="25.7109375" style="117" customWidth="1"/>
    <col min="2587" max="2587" width="206.85546875" style="117" customWidth="1"/>
    <col min="2588" max="2588" width="71.140625" style="117" customWidth="1"/>
    <col min="2589" max="2589" width="13.5703125" style="117" customWidth="1"/>
    <col min="2590" max="2816" width="9.140625" style="117"/>
    <col min="2817" max="2817" width="155.28515625" style="117" customWidth="1"/>
    <col min="2818" max="2819" width="29.85546875" style="117" customWidth="1"/>
    <col min="2820" max="2820" width="26.7109375" style="117" customWidth="1"/>
    <col min="2821" max="2821" width="26.5703125" style="117" customWidth="1"/>
    <col min="2822" max="2822" width="25.7109375" style="117" customWidth="1"/>
    <col min="2823" max="2823" width="28.5703125" style="117" customWidth="1"/>
    <col min="2824" max="2824" width="27.7109375" style="117" customWidth="1"/>
    <col min="2825" max="2833" width="25.7109375" style="117" customWidth="1"/>
    <col min="2834" max="2834" width="29.7109375" style="117" customWidth="1"/>
    <col min="2835" max="2835" width="25.7109375" style="117" customWidth="1"/>
    <col min="2836" max="2836" width="44.7109375" style="117" customWidth="1"/>
    <col min="2837" max="2837" width="25.7109375" style="117" customWidth="1"/>
    <col min="2838" max="2838" width="32.140625" style="117" customWidth="1"/>
    <col min="2839" max="2839" width="38.28515625" style="117" customWidth="1"/>
    <col min="2840" max="2840" width="32.7109375" style="117" customWidth="1"/>
    <col min="2841" max="2841" width="61" style="117" customWidth="1"/>
    <col min="2842" max="2842" width="25.7109375" style="117" customWidth="1"/>
    <col min="2843" max="2843" width="206.85546875" style="117" customWidth="1"/>
    <col min="2844" max="2844" width="71.140625" style="117" customWidth="1"/>
    <col min="2845" max="2845" width="13.5703125" style="117" customWidth="1"/>
    <col min="2846" max="3072" width="9.140625" style="117"/>
    <col min="3073" max="3073" width="155.28515625" style="117" customWidth="1"/>
    <col min="3074" max="3075" width="29.85546875" style="117" customWidth="1"/>
    <col min="3076" max="3076" width="26.7109375" style="117" customWidth="1"/>
    <col min="3077" max="3077" width="26.5703125" style="117" customWidth="1"/>
    <col min="3078" max="3078" width="25.7109375" style="117" customWidth="1"/>
    <col min="3079" max="3079" width="28.5703125" style="117" customWidth="1"/>
    <col min="3080" max="3080" width="27.7109375" style="117" customWidth="1"/>
    <col min="3081" max="3089" width="25.7109375" style="117" customWidth="1"/>
    <col min="3090" max="3090" width="29.7109375" style="117" customWidth="1"/>
    <col min="3091" max="3091" width="25.7109375" style="117" customWidth="1"/>
    <col min="3092" max="3092" width="44.7109375" style="117" customWidth="1"/>
    <col min="3093" max="3093" width="25.7109375" style="117" customWidth="1"/>
    <col min="3094" max="3094" width="32.140625" style="117" customWidth="1"/>
    <col min="3095" max="3095" width="38.28515625" style="117" customWidth="1"/>
    <col min="3096" max="3096" width="32.7109375" style="117" customWidth="1"/>
    <col min="3097" max="3097" width="61" style="117" customWidth="1"/>
    <col min="3098" max="3098" width="25.7109375" style="117" customWidth="1"/>
    <col min="3099" max="3099" width="206.85546875" style="117" customWidth="1"/>
    <col min="3100" max="3100" width="71.140625" style="117" customWidth="1"/>
    <col min="3101" max="3101" width="13.5703125" style="117" customWidth="1"/>
    <col min="3102" max="3328" width="9.140625" style="117"/>
    <col min="3329" max="3329" width="155.28515625" style="117" customWidth="1"/>
    <col min="3330" max="3331" width="29.85546875" style="117" customWidth="1"/>
    <col min="3332" max="3332" width="26.7109375" style="117" customWidth="1"/>
    <col min="3333" max="3333" width="26.5703125" style="117" customWidth="1"/>
    <col min="3334" max="3334" width="25.7109375" style="117" customWidth="1"/>
    <col min="3335" max="3335" width="28.5703125" style="117" customWidth="1"/>
    <col min="3336" max="3336" width="27.7109375" style="117" customWidth="1"/>
    <col min="3337" max="3345" width="25.7109375" style="117" customWidth="1"/>
    <col min="3346" max="3346" width="29.7109375" style="117" customWidth="1"/>
    <col min="3347" max="3347" width="25.7109375" style="117" customWidth="1"/>
    <col min="3348" max="3348" width="44.7109375" style="117" customWidth="1"/>
    <col min="3349" max="3349" width="25.7109375" style="117" customWidth="1"/>
    <col min="3350" max="3350" width="32.140625" style="117" customWidth="1"/>
    <col min="3351" max="3351" width="38.28515625" style="117" customWidth="1"/>
    <col min="3352" max="3352" width="32.7109375" style="117" customWidth="1"/>
    <col min="3353" max="3353" width="61" style="117" customWidth="1"/>
    <col min="3354" max="3354" width="25.7109375" style="117" customWidth="1"/>
    <col min="3355" max="3355" width="206.85546875" style="117" customWidth="1"/>
    <col min="3356" max="3356" width="71.140625" style="117" customWidth="1"/>
    <col min="3357" max="3357" width="13.5703125" style="117" customWidth="1"/>
    <col min="3358" max="3584" width="9.140625" style="117"/>
    <col min="3585" max="3585" width="155.28515625" style="117" customWidth="1"/>
    <col min="3586" max="3587" width="29.85546875" style="117" customWidth="1"/>
    <col min="3588" max="3588" width="26.7109375" style="117" customWidth="1"/>
    <col min="3589" max="3589" width="26.5703125" style="117" customWidth="1"/>
    <col min="3590" max="3590" width="25.7109375" style="117" customWidth="1"/>
    <col min="3591" max="3591" width="28.5703125" style="117" customWidth="1"/>
    <col min="3592" max="3592" width="27.7109375" style="117" customWidth="1"/>
    <col min="3593" max="3601" width="25.7109375" style="117" customWidth="1"/>
    <col min="3602" max="3602" width="29.7109375" style="117" customWidth="1"/>
    <col min="3603" max="3603" width="25.7109375" style="117" customWidth="1"/>
    <col min="3604" max="3604" width="44.7109375" style="117" customWidth="1"/>
    <col min="3605" max="3605" width="25.7109375" style="117" customWidth="1"/>
    <col min="3606" max="3606" width="32.140625" style="117" customWidth="1"/>
    <col min="3607" max="3607" width="38.28515625" style="117" customWidth="1"/>
    <col min="3608" max="3608" width="32.7109375" style="117" customWidth="1"/>
    <col min="3609" max="3609" width="61" style="117" customWidth="1"/>
    <col min="3610" max="3610" width="25.7109375" style="117" customWidth="1"/>
    <col min="3611" max="3611" width="206.85546875" style="117" customWidth="1"/>
    <col min="3612" max="3612" width="71.140625" style="117" customWidth="1"/>
    <col min="3613" max="3613" width="13.5703125" style="117" customWidth="1"/>
    <col min="3614" max="3840" width="9.140625" style="117"/>
    <col min="3841" max="3841" width="155.28515625" style="117" customWidth="1"/>
    <col min="3842" max="3843" width="29.85546875" style="117" customWidth="1"/>
    <col min="3844" max="3844" width="26.7109375" style="117" customWidth="1"/>
    <col min="3845" max="3845" width="26.5703125" style="117" customWidth="1"/>
    <col min="3846" max="3846" width="25.7109375" style="117" customWidth="1"/>
    <col min="3847" max="3847" width="28.5703125" style="117" customWidth="1"/>
    <col min="3848" max="3848" width="27.7109375" style="117" customWidth="1"/>
    <col min="3849" max="3857" width="25.7109375" style="117" customWidth="1"/>
    <col min="3858" max="3858" width="29.7109375" style="117" customWidth="1"/>
    <col min="3859" max="3859" width="25.7109375" style="117" customWidth="1"/>
    <col min="3860" max="3860" width="44.7109375" style="117" customWidth="1"/>
    <col min="3861" max="3861" width="25.7109375" style="117" customWidth="1"/>
    <col min="3862" max="3862" width="32.140625" style="117" customWidth="1"/>
    <col min="3863" max="3863" width="38.28515625" style="117" customWidth="1"/>
    <col min="3864" max="3864" width="32.7109375" style="117" customWidth="1"/>
    <col min="3865" max="3865" width="61" style="117" customWidth="1"/>
    <col min="3866" max="3866" width="25.7109375" style="117" customWidth="1"/>
    <col min="3867" max="3867" width="206.85546875" style="117" customWidth="1"/>
    <col min="3868" max="3868" width="71.140625" style="117" customWidth="1"/>
    <col min="3869" max="3869" width="13.5703125" style="117" customWidth="1"/>
    <col min="3870" max="4096" width="9.140625" style="117"/>
    <col min="4097" max="4097" width="155.28515625" style="117" customWidth="1"/>
    <col min="4098" max="4099" width="29.85546875" style="117" customWidth="1"/>
    <col min="4100" max="4100" width="26.7109375" style="117" customWidth="1"/>
    <col min="4101" max="4101" width="26.5703125" style="117" customWidth="1"/>
    <col min="4102" max="4102" width="25.7109375" style="117" customWidth="1"/>
    <col min="4103" max="4103" width="28.5703125" style="117" customWidth="1"/>
    <col min="4104" max="4104" width="27.7109375" style="117" customWidth="1"/>
    <col min="4105" max="4113" width="25.7109375" style="117" customWidth="1"/>
    <col min="4114" max="4114" width="29.7109375" style="117" customWidth="1"/>
    <col min="4115" max="4115" width="25.7109375" style="117" customWidth="1"/>
    <col min="4116" max="4116" width="44.7109375" style="117" customWidth="1"/>
    <col min="4117" max="4117" width="25.7109375" style="117" customWidth="1"/>
    <col min="4118" max="4118" width="32.140625" style="117" customWidth="1"/>
    <col min="4119" max="4119" width="38.28515625" style="117" customWidth="1"/>
    <col min="4120" max="4120" width="32.7109375" style="117" customWidth="1"/>
    <col min="4121" max="4121" width="61" style="117" customWidth="1"/>
    <col min="4122" max="4122" width="25.7109375" style="117" customWidth="1"/>
    <col min="4123" max="4123" width="206.85546875" style="117" customWidth="1"/>
    <col min="4124" max="4124" width="71.140625" style="117" customWidth="1"/>
    <col min="4125" max="4125" width="13.5703125" style="117" customWidth="1"/>
    <col min="4126" max="4352" width="9.140625" style="117"/>
    <col min="4353" max="4353" width="155.28515625" style="117" customWidth="1"/>
    <col min="4354" max="4355" width="29.85546875" style="117" customWidth="1"/>
    <col min="4356" max="4356" width="26.7109375" style="117" customWidth="1"/>
    <col min="4357" max="4357" width="26.5703125" style="117" customWidth="1"/>
    <col min="4358" max="4358" width="25.7109375" style="117" customWidth="1"/>
    <col min="4359" max="4359" width="28.5703125" style="117" customWidth="1"/>
    <col min="4360" max="4360" width="27.7109375" style="117" customWidth="1"/>
    <col min="4361" max="4369" width="25.7109375" style="117" customWidth="1"/>
    <col min="4370" max="4370" width="29.7109375" style="117" customWidth="1"/>
    <col min="4371" max="4371" width="25.7109375" style="117" customWidth="1"/>
    <col min="4372" max="4372" width="44.7109375" style="117" customWidth="1"/>
    <col min="4373" max="4373" width="25.7109375" style="117" customWidth="1"/>
    <col min="4374" max="4374" width="32.140625" style="117" customWidth="1"/>
    <col min="4375" max="4375" width="38.28515625" style="117" customWidth="1"/>
    <col min="4376" max="4376" width="32.7109375" style="117" customWidth="1"/>
    <col min="4377" max="4377" width="61" style="117" customWidth="1"/>
    <col min="4378" max="4378" width="25.7109375" style="117" customWidth="1"/>
    <col min="4379" max="4379" width="206.85546875" style="117" customWidth="1"/>
    <col min="4380" max="4380" width="71.140625" style="117" customWidth="1"/>
    <col min="4381" max="4381" width="13.5703125" style="117" customWidth="1"/>
    <col min="4382" max="4608" width="9.140625" style="117"/>
    <col min="4609" max="4609" width="155.28515625" style="117" customWidth="1"/>
    <col min="4610" max="4611" width="29.85546875" style="117" customWidth="1"/>
    <col min="4612" max="4612" width="26.7109375" style="117" customWidth="1"/>
    <col min="4613" max="4613" width="26.5703125" style="117" customWidth="1"/>
    <col min="4614" max="4614" width="25.7109375" style="117" customWidth="1"/>
    <col min="4615" max="4615" width="28.5703125" style="117" customWidth="1"/>
    <col min="4616" max="4616" width="27.7109375" style="117" customWidth="1"/>
    <col min="4617" max="4625" width="25.7109375" style="117" customWidth="1"/>
    <col min="4626" max="4626" width="29.7109375" style="117" customWidth="1"/>
    <col min="4627" max="4627" width="25.7109375" style="117" customWidth="1"/>
    <col min="4628" max="4628" width="44.7109375" style="117" customWidth="1"/>
    <col min="4629" max="4629" width="25.7109375" style="117" customWidth="1"/>
    <col min="4630" max="4630" width="32.140625" style="117" customWidth="1"/>
    <col min="4631" max="4631" width="38.28515625" style="117" customWidth="1"/>
    <col min="4632" max="4632" width="32.7109375" style="117" customWidth="1"/>
    <col min="4633" max="4633" width="61" style="117" customWidth="1"/>
    <col min="4634" max="4634" width="25.7109375" style="117" customWidth="1"/>
    <col min="4635" max="4635" width="206.85546875" style="117" customWidth="1"/>
    <col min="4636" max="4636" width="71.140625" style="117" customWidth="1"/>
    <col min="4637" max="4637" width="13.5703125" style="117" customWidth="1"/>
    <col min="4638" max="4864" width="9.140625" style="117"/>
    <col min="4865" max="4865" width="155.28515625" style="117" customWidth="1"/>
    <col min="4866" max="4867" width="29.85546875" style="117" customWidth="1"/>
    <col min="4868" max="4868" width="26.7109375" style="117" customWidth="1"/>
    <col min="4869" max="4869" width="26.5703125" style="117" customWidth="1"/>
    <col min="4870" max="4870" width="25.7109375" style="117" customWidth="1"/>
    <col min="4871" max="4871" width="28.5703125" style="117" customWidth="1"/>
    <col min="4872" max="4872" width="27.7109375" style="117" customWidth="1"/>
    <col min="4873" max="4881" width="25.7109375" style="117" customWidth="1"/>
    <col min="4882" max="4882" width="29.7109375" style="117" customWidth="1"/>
    <col min="4883" max="4883" width="25.7109375" style="117" customWidth="1"/>
    <col min="4884" max="4884" width="44.7109375" style="117" customWidth="1"/>
    <col min="4885" max="4885" width="25.7109375" style="117" customWidth="1"/>
    <col min="4886" max="4886" width="32.140625" style="117" customWidth="1"/>
    <col min="4887" max="4887" width="38.28515625" style="117" customWidth="1"/>
    <col min="4888" max="4888" width="32.7109375" style="117" customWidth="1"/>
    <col min="4889" max="4889" width="61" style="117" customWidth="1"/>
    <col min="4890" max="4890" width="25.7109375" style="117" customWidth="1"/>
    <col min="4891" max="4891" width="206.85546875" style="117" customWidth="1"/>
    <col min="4892" max="4892" width="71.140625" style="117" customWidth="1"/>
    <col min="4893" max="4893" width="13.5703125" style="117" customWidth="1"/>
    <col min="4894" max="5120" width="9.140625" style="117"/>
    <col min="5121" max="5121" width="155.28515625" style="117" customWidth="1"/>
    <col min="5122" max="5123" width="29.85546875" style="117" customWidth="1"/>
    <col min="5124" max="5124" width="26.7109375" style="117" customWidth="1"/>
    <col min="5125" max="5125" width="26.5703125" style="117" customWidth="1"/>
    <col min="5126" max="5126" width="25.7109375" style="117" customWidth="1"/>
    <col min="5127" max="5127" width="28.5703125" style="117" customWidth="1"/>
    <col min="5128" max="5128" width="27.7109375" style="117" customWidth="1"/>
    <col min="5129" max="5137" width="25.7109375" style="117" customWidth="1"/>
    <col min="5138" max="5138" width="29.7109375" style="117" customWidth="1"/>
    <col min="5139" max="5139" width="25.7109375" style="117" customWidth="1"/>
    <col min="5140" max="5140" width="44.7109375" style="117" customWidth="1"/>
    <col min="5141" max="5141" width="25.7109375" style="117" customWidth="1"/>
    <col min="5142" max="5142" width="32.140625" style="117" customWidth="1"/>
    <col min="5143" max="5143" width="38.28515625" style="117" customWidth="1"/>
    <col min="5144" max="5144" width="32.7109375" style="117" customWidth="1"/>
    <col min="5145" max="5145" width="61" style="117" customWidth="1"/>
    <col min="5146" max="5146" width="25.7109375" style="117" customWidth="1"/>
    <col min="5147" max="5147" width="206.85546875" style="117" customWidth="1"/>
    <col min="5148" max="5148" width="71.140625" style="117" customWidth="1"/>
    <col min="5149" max="5149" width="13.5703125" style="117" customWidth="1"/>
    <col min="5150" max="5376" width="9.140625" style="117"/>
    <col min="5377" max="5377" width="155.28515625" style="117" customWidth="1"/>
    <col min="5378" max="5379" width="29.85546875" style="117" customWidth="1"/>
    <col min="5380" max="5380" width="26.7109375" style="117" customWidth="1"/>
    <col min="5381" max="5381" width="26.5703125" style="117" customWidth="1"/>
    <col min="5382" max="5382" width="25.7109375" style="117" customWidth="1"/>
    <col min="5383" max="5383" width="28.5703125" style="117" customWidth="1"/>
    <col min="5384" max="5384" width="27.7109375" style="117" customWidth="1"/>
    <col min="5385" max="5393" width="25.7109375" style="117" customWidth="1"/>
    <col min="5394" max="5394" width="29.7109375" style="117" customWidth="1"/>
    <col min="5395" max="5395" width="25.7109375" style="117" customWidth="1"/>
    <col min="5396" max="5396" width="44.7109375" style="117" customWidth="1"/>
    <col min="5397" max="5397" width="25.7109375" style="117" customWidth="1"/>
    <col min="5398" max="5398" width="32.140625" style="117" customWidth="1"/>
    <col min="5399" max="5399" width="38.28515625" style="117" customWidth="1"/>
    <col min="5400" max="5400" width="32.7109375" style="117" customWidth="1"/>
    <col min="5401" max="5401" width="61" style="117" customWidth="1"/>
    <col min="5402" max="5402" width="25.7109375" style="117" customWidth="1"/>
    <col min="5403" max="5403" width="206.85546875" style="117" customWidth="1"/>
    <col min="5404" max="5404" width="71.140625" style="117" customWidth="1"/>
    <col min="5405" max="5405" width="13.5703125" style="117" customWidth="1"/>
    <col min="5406" max="5632" width="9.140625" style="117"/>
    <col min="5633" max="5633" width="155.28515625" style="117" customWidth="1"/>
    <col min="5634" max="5635" width="29.85546875" style="117" customWidth="1"/>
    <col min="5636" max="5636" width="26.7109375" style="117" customWidth="1"/>
    <col min="5637" max="5637" width="26.5703125" style="117" customWidth="1"/>
    <col min="5638" max="5638" width="25.7109375" style="117" customWidth="1"/>
    <col min="5639" max="5639" width="28.5703125" style="117" customWidth="1"/>
    <col min="5640" max="5640" width="27.7109375" style="117" customWidth="1"/>
    <col min="5641" max="5649" width="25.7109375" style="117" customWidth="1"/>
    <col min="5650" max="5650" width="29.7109375" style="117" customWidth="1"/>
    <col min="5651" max="5651" width="25.7109375" style="117" customWidth="1"/>
    <col min="5652" max="5652" width="44.7109375" style="117" customWidth="1"/>
    <col min="5653" max="5653" width="25.7109375" style="117" customWidth="1"/>
    <col min="5654" max="5654" width="32.140625" style="117" customWidth="1"/>
    <col min="5655" max="5655" width="38.28515625" style="117" customWidth="1"/>
    <col min="5656" max="5656" width="32.7109375" style="117" customWidth="1"/>
    <col min="5657" max="5657" width="61" style="117" customWidth="1"/>
    <col min="5658" max="5658" width="25.7109375" style="117" customWidth="1"/>
    <col min="5659" max="5659" width="206.85546875" style="117" customWidth="1"/>
    <col min="5660" max="5660" width="71.140625" style="117" customWidth="1"/>
    <col min="5661" max="5661" width="13.5703125" style="117" customWidth="1"/>
    <col min="5662" max="5888" width="9.140625" style="117"/>
    <col min="5889" max="5889" width="155.28515625" style="117" customWidth="1"/>
    <col min="5890" max="5891" width="29.85546875" style="117" customWidth="1"/>
    <col min="5892" max="5892" width="26.7109375" style="117" customWidth="1"/>
    <col min="5893" max="5893" width="26.5703125" style="117" customWidth="1"/>
    <col min="5894" max="5894" width="25.7109375" style="117" customWidth="1"/>
    <col min="5895" max="5895" width="28.5703125" style="117" customWidth="1"/>
    <col min="5896" max="5896" width="27.7109375" style="117" customWidth="1"/>
    <col min="5897" max="5905" width="25.7109375" style="117" customWidth="1"/>
    <col min="5906" max="5906" width="29.7109375" style="117" customWidth="1"/>
    <col min="5907" max="5907" width="25.7109375" style="117" customWidth="1"/>
    <col min="5908" max="5908" width="44.7109375" style="117" customWidth="1"/>
    <col min="5909" max="5909" width="25.7109375" style="117" customWidth="1"/>
    <col min="5910" max="5910" width="32.140625" style="117" customWidth="1"/>
    <col min="5911" max="5911" width="38.28515625" style="117" customWidth="1"/>
    <col min="5912" max="5912" width="32.7109375" style="117" customWidth="1"/>
    <col min="5913" max="5913" width="61" style="117" customWidth="1"/>
    <col min="5914" max="5914" width="25.7109375" style="117" customWidth="1"/>
    <col min="5915" max="5915" width="206.85546875" style="117" customWidth="1"/>
    <col min="5916" max="5916" width="71.140625" style="117" customWidth="1"/>
    <col min="5917" max="5917" width="13.5703125" style="117" customWidth="1"/>
    <col min="5918" max="6144" width="9.140625" style="117"/>
    <col min="6145" max="6145" width="155.28515625" style="117" customWidth="1"/>
    <col min="6146" max="6147" width="29.85546875" style="117" customWidth="1"/>
    <col min="6148" max="6148" width="26.7109375" style="117" customWidth="1"/>
    <col min="6149" max="6149" width="26.5703125" style="117" customWidth="1"/>
    <col min="6150" max="6150" width="25.7109375" style="117" customWidth="1"/>
    <col min="6151" max="6151" width="28.5703125" style="117" customWidth="1"/>
    <col min="6152" max="6152" width="27.7109375" style="117" customWidth="1"/>
    <col min="6153" max="6161" width="25.7109375" style="117" customWidth="1"/>
    <col min="6162" max="6162" width="29.7109375" style="117" customWidth="1"/>
    <col min="6163" max="6163" width="25.7109375" style="117" customWidth="1"/>
    <col min="6164" max="6164" width="44.7109375" style="117" customWidth="1"/>
    <col min="6165" max="6165" width="25.7109375" style="117" customWidth="1"/>
    <col min="6166" max="6166" width="32.140625" style="117" customWidth="1"/>
    <col min="6167" max="6167" width="38.28515625" style="117" customWidth="1"/>
    <col min="6168" max="6168" width="32.7109375" style="117" customWidth="1"/>
    <col min="6169" max="6169" width="61" style="117" customWidth="1"/>
    <col min="6170" max="6170" width="25.7109375" style="117" customWidth="1"/>
    <col min="6171" max="6171" width="206.85546875" style="117" customWidth="1"/>
    <col min="6172" max="6172" width="71.140625" style="117" customWidth="1"/>
    <col min="6173" max="6173" width="13.5703125" style="117" customWidth="1"/>
    <col min="6174" max="6400" width="9.140625" style="117"/>
    <col min="6401" max="6401" width="155.28515625" style="117" customWidth="1"/>
    <col min="6402" max="6403" width="29.85546875" style="117" customWidth="1"/>
    <col min="6404" max="6404" width="26.7109375" style="117" customWidth="1"/>
    <col min="6405" max="6405" width="26.5703125" style="117" customWidth="1"/>
    <col min="6406" max="6406" width="25.7109375" style="117" customWidth="1"/>
    <col min="6407" max="6407" width="28.5703125" style="117" customWidth="1"/>
    <col min="6408" max="6408" width="27.7109375" style="117" customWidth="1"/>
    <col min="6409" max="6417" width="25.7109375" style="117" customWidth="1"/>
    <col min="6418" max="6418" width="29.7109375" style="117" customWidth="1"/>
    <col min="6419" max="6419" width="25.7109375" style="117" customWidth="1"/>
    <col min="6420" max="6420" width="44.7109375" style="117" customWidth="1"/>
    <col min="6421" max="6421" width="25.7109375" style="117" customWidth="1"/>
    <col min="6422" max="6422" width="32.140625" style="117" customWidth="1"/>
    <col min="6423" max="6423" width="38.28515625" style="117" customWidth="1"/>
    <col min="6424" max="6424" width="32.7109375" style="117" customWidth="1"/>
    <col min="6425" max="6425" width="61" style="117" customWidth="1"/>
    <col min="6426" max="6426" width="25.7109375" style="117" customWidth="1"/>
    <col min="6427" max="6427" width="206.85546875" style="117" customWidth="1"/>
    <col min="6428" max="6428" width="71.140625" style="117" customWidth="1"/>
    <col min="6429" max="6429" width="13.5703125" style="117" customWidth="1"/>
    <col min="6430" max="6656" width="9.140625" style="117"/>
    <col min="6657" max="6657" width="155.28515625" style="117" customWidth="1"/>
    <col min="6658" max="6659" width="29.85546875" style="117" customWidth="1"/>
    <col min="6660" max="6660" width="26.7109375" style="117" customWidth="1"/>
    <col min="6661" max="6661" width="26.5703125" style="117" customWidth="1"/>
    <col min="6662" max="6662" width="25.7109375" style="117" customWidth="1"/>
    <col min="6663" max="6663" width="28.5703125" style="117" customWidth="1"/>
    <col min="6664" max="6664" width="27.7109375" style="117" customWidth="1"/>
    <col min="6665" max="6673" width="25.7109375" style="117" customWidth="1"/>
    <col min="6674" max="6674" width="29.7109375" style="117" customWidth="1"/>
    <col min="6675" max="6675" width="25.7109375" style="117" customWidth="1"/>
    <col min="6676" max="6676" width="44.7109375" style="117" customWidth="1"/>
    <col min="6677" max="6677" width="25.7109375" style="117" customWidth="1"/>
    <col min="6678" max="6678" width="32.140625" style="117" customWidth="1"/>
    <col min="6679" max="6679" width="38.28515625" style="117" customWidth="1"/>
    <col min="6680" max="6680" width="32.7109375" style="117" customWidth="1"/>
    <col min="6681" max="6681" width="61" style="117" customWidth="1"/>
    <col min="6682" max="6682" width="25.7109375" style="117" customWidth="1"/>
    <col min="6683" max="6683" width="206.85546875" style="117" customWidth="1"/>
    <col min="6684" max="6684" width="71.140625" style="117" customWidth="1"/>
    <col min="6685" max="6685" width="13.5703125" style="117" customWidth="1"/>
    <col min="6686" max="6912" width="9.140625" style="117"/>
    <col min="6913" max="6913" width="155.28515625" style="117" customWidth="1"/>
    <col min="6914" max="6915" width="29.85546875" style="117" customWidth="1"/>
    <col min="6916" max="6916" width="26.7109375" style="117" customWidth="1"/>
    <col min="6917" max="6917" width="26.5703125" style="117" customWidth="1"/>
    <col min="6918" max="6918" width="25.7109375" style="117" customWidth="1"/>
    <col min="6919" max="6919" width="28.5703125" style="117" customWidth="1"/>
    <col min="6920" max="6920" width="27.7109375" style="117" customWidth="1"/>
    <col min="6921" max="6929" width="25.7109375" style="117" customWidth="1"/>
    <col min="6930" max="6930" width="29.7109375" style="117" customWidth="1"/>
    <col min="6931" max="6931" width="25.7109375" style="117" customWidth="1"/>
    <col min="6932" max="6932" width="44.7109375" style="117" customWidth="1"/>
    <col min="6933" max="6933" width="25.7109375" style="117" customWidth="1"/>
    <col min="6934" max="6934" width="32.140625" style="117" customWidth="1"/>
    <col min="6935" max="6935" width="38.28515625" style="117" customWidth="1"/>
    <col min="6936" max="6936" width="32.7109375" style="117" customWidth="1"/>
    <col min="6937" max="6937" width="61" style="117" customWidth="1"/>
    <col min="6938" max="6938" width="25.7109375" style="117" customWidth="1"/>
    <col min="6939" max="6939" width="206.85546875" style="117" customWidth="1"/>
    <col min="6940" max="6940" width="71.140625" style="117" customWidth="1"/>
    <col min="6941" max="6941" width="13.5703125" style="117" customWidth="1"/>
    <col min="6942" max="7168" width="9.140625" style="117"/>
    <col min="7169" max="7169" width="155.28515625" style="117" customWidth="1"/>
    <col min="7170" max="7171" width="29.85546875" style="117" customWidth="1"/>
    <col min="7172" max="7172" width="26.7109375" style="117" customWidth="1"/>
    <col min="7173" max="7173" width="26.5703125" style="117" customWidth="1"/>
    <col min="7174" max="7174" width="25.7109375" style="117" customWidth="1"/>
    <col min="7175" max="7175" width="28.5703125" style="117" customWidth="1"/>
    <col min="7176" max="7176" width="27.7109375" style="117" customWidth="1"/>
    <col min="7177" max="7185" width="25.7109375" style="117" customWidth="1"/>
    <col min="7186" max="7186" width="29.7109375" style="117" customWidth="1"/>
    <col min="7187" max="7187" width="25.7109375" style="117" customWidth="1"/>
    <col min="7188" max="7188" width="44.7109375" style="117" customWidth="1"/>
    <col min="7189" max="7189" width="25.7109375" style="117" customWidth="1"/>
    <col min="7190" max="7190" width="32.140625" style="117" customWidth="1"/>
    <col min="7191" max="7191" width="38.28515625" style="117" customWidth="1"/>
    <col min="7192" max="7192" width="32.7109375" style="117" customWidth="1"/>
    <col min="7193" max="7193" width="61" style="117" customWidth="1"/>
    <col min="7194" max="7194" width="25.7109375" style="117" customWidth="1"/>
    <col min="7195" max="7195" width="206.85546875" style="117" customWidth="1"/>
    <col min="7196" max="7196" width="71.140625" style="117" customWidth="1"/>
    <col min="7197" max="7197" width="13.5703125" style="117" customWidth="1"/>
    <col min="7198" max="7424" width="9.140625" style="117"/>
    <col min="7425" max="7425" width="155.28515625" style="117" customWidth="1"/>
    <col min="7426" max="7427" width="29.85546875" style="117" customWidth="1"/>
    <col min="7428" max="7428" width="26.7109375" style="117" customWidth="1"/>
    <col min="7429" max="7429" width="26.5703125" style="117" customWidth="1"/>
    <col min="7430" max="7430" width="25.7109375" style="117" customWidth="1"/>
    <col min="7431" max="7431" width="28.5703125" style="117" customWidth="1"/>
    <col min="7432" max="7432" width="27.7109375" style="117" customWidth="1"/>
    <col min="7433" max="7441" width="25.7109375" style="117" customWidth="1"/>
    <col min="7442" max="7442" width="29.7109375" style="117" customWidth="1"/>
    <col min="7443" max="7443" width="25.7109375" style="117" customWidth="1"/>
    <col min="7444" max="7444" width="44.7109375" style="117" customWidth="1"/>
    <col min="7445" max="7445" width="25.7109375" style="117" customWidth="1"/>
    <col min="7446" max="7446" width="32.140625" style="117" customWidth="1"/>
    <col min="7447" max="7447" width="38.28515625" style="117" customWidth="1"/>
    <col min="7448" max="7448" width="32.7109375" style="117" customWidth="1"/>
    <col min="7449" max="7449" width="61" style="117" customWidth="1"/>
    <col min="7450" max="7450" width="25.7109375" style="117" customWidth="1"/>
    <col min="7451" max="7451" width="206.85546875" style="117" customWidth="1"/>
    <col min="7452" max="7452" width="71.140625" style="117" customWidth="1"/>
    <col min="7453" max="7453" width="13.5703125" style="117" customWidth="1"/>
    <col min="7454" max="7680" width="9.140625" style="117"/>
    <col min="7681" max="7681" width="155.28515625" style="117" customWidth="1"/>
    <col min="7682" max="7683" width="29.85546875" style="117" customWidth="1"/>
    <col min="7684" max="7684" width="26.7109375" style="117" customWidth="1"/>
    <col min="7685" max="7685" width="26.5703125" style="117" customWidth="1"/>
    <col min="7686" max="7686" width="25.7109375" style="117" customWidth="1"/>
    <col min="7687" max="7687" width="28.5703125" style="117" customWidth="1"/>
    <col min="7688" max="7688" width="27.7109375" style="117" customWidth="1"/>
    <col min="7689" max="7697" width="25.7109375" style="117" customWidth="1"/>
    <col min="7698" max="7698" width="29.7109375" style="117" customWidth="1"/>
    <col min="7699" max="7699" width="25.7109375" style="117" customWidth="1"/>
    <col min="7700" max="7700" width="44.7109375" style="117" customWidth="1"/>
    <col min="7701" max="7701" width="25.7109375" style="117" customWidth="1"/>
    <col min="7702" max="7702" width="32.140625" style="117" customWidth="1"/>
    <col min="7703" max="7703" width="38.28515625" style="117" customWidth="1"/>
    <col min="7704" max="7704" width="32.7109375" style="117" customWidth="1"/>
    <col min="7705" max="7705" width="61" style="117" customWidth="1"/>
    <col min="7706" max="7706" width="25.7109375" style="117" customWidth="1"/>
    <col min="7707" max="7707" width="206.85546875" style="117" customWidth="1"/>
    <col min="7708" max="7708" width="71.140625" style="117" customWidth="1"/>
    <col min="7709" max="7709" width="13.5703125" style="117" customWidth="1"/>
    <col min="7710" max="7936" width="9.140625" style="117"/>
    <col min="7937" max="7937" width="155.28515625" style="117" customWidth="1"/>
    <col min="7938" max="7939" width="29.85546875" style="117" customWidth="1"/>
    <col min="7940" max="7940" width="26.7109375" style="117" customWidth="1"/>
    <col min="7941" max="7941" width="26.5703125" style="117" customWidth="1"/>
    <col min="7942" max="7942" width="25.7109375" style="117" customWidth="1"/>
    <col min="7943" max="7943" width="28.5703125" style="117" customWidth="1"/>
    <col min="7944" max="7944" width="27.7109375" style="117" customWidth="1"/>
    <col min="7945" max="7953" width="25.7109375" style="117" customWidth="1"/>
    <col min="7954" max="7954" width="29.7109375" style="117" customWidth="1"/>
    <col min="7955" max="7955" width="25.7109375" style="117" customWidth="1"/>
    <col min="7956" max="7956" width="44.7109375" style="117" customWidth="1"/>
    <col min="7957" max="7957" width="25.7109375" style="117" customWidth="1"/>
    <col min="7958" max="7958" width="32.140625" style="117" customWidth="1"/>
    <col min="7959" max="7959" width="38.28515625" style="117" customWidth="1"/>
    <col min="7960" max="7960" width="32.7109375" style="117" customWidth="1"/>
    <col min="7961" max="7961" width="61" style="117" customWidth="1"/>
    <col min="7962" max="7962" width="25.7109375" style="117" customWidth="1"/>
    <col min="7963" max="7963" width="206.85546875" style="117" customWidth="1"/>
    <col min="7964" max="7964" width="71.140625" style="117" customWidth="1"/>
    <col min="7965" max="7965" width="13.5703125" style="117" customWidth="1"/>
    <col min="7966" max="8192" width="9.140625" style="117"/>
    <col min="8193" max="8193" width="155.28515625" style="117" customWidth="1"/>
    <col min="8194" max="8195" width="29.85546875" style="117" customWidth="1"/>
    <col min="8196" max="8196" width="26.7109375" style="117" customWidth="1"/>
    <col min="8197" max="8197" width="26.5703125" style="117" customWidth="1"/>
    <col min="8198" max="8198" width="25.7109375" style="117" customWidth="1"/>
    <col min="8199" max="8199" width="28.5703125" style="117" customWidth="1"/>
    <col min="8200" max="8200" width="27.7109375" style="117" customWidth="1"/>
    <col min="8201" max="8209" width="25.7109375" style="117" customWidth="1"/>
    <col min="8210" max="8210" width="29.7109375" style="117" customWidth="1"/>
    <col min="8211" max="8211" width="25.7109375" style="117" customWidth="1"/>
    <col min="8212" max="8212" width="44.7109375" style="117" customWidth="1"/>
    <col min="8213" max="8213" width="25.7109375" style="117" customWidth="1"/>
    <col min="8214" max="8214" width="32.140625" style="117" customWidth="1"/>
    <col min="8215" max="8215" width="38.28515625" style="117" customWidth="1"/>
    <col min="8216" max="8216" width="32.7109375" style="117" customWidth="1"/>
    <col min="8217" max="8217" width="61" style="117" customWidth="1"/>
    <col min="8218" max="8218" width="25.7109375" style="117" customWidth="1"/>
    <col min="8219" max="8219" width="206.85546875" style="117" customWidth="1"/>
    <col min="8220" max="8220" width="71.140625" style="117" customWidth="1"/>
    <col min="8221" max="8221" width="13.5703125" style="117" customWidth="1"/>
    <col min="8222" max="8448" width="9.140625" style="117"/>
    <col min="8449" max="8449" width="155.28515625" style="117" customWidth="1"/>
    <col min="8450" max="8451" width="29.85546875" style="117" customWidth="1"/>
    <col min="8452" max="8452" width="26.7109375" style="117" customWidth="1"/>
    <col min="8453" max="8453" width="26.5703125" style="117" customWidth="1"/>
    <col min="8454" max="8454" width="25.7109375" style="117" customWidth="1"/>
    <col min="8455" max="8455" width="28.5703125" style="117" customWidth="1"/>
    <col min="8456" max="8456" width="27.7109375" style="117" customWidth="1"/>
    <col min="8457" max="8465" width="25.7109375" style="117" customWidth="1"/>
    <col min="8466" max="8466" width="29.7109375" style="117" customWidth="1"/>
    <col min="8467" max="8467" width="25.7109375" style="117" customWidth="1"/>
    <col min="8468" max="8468" width="44.7109375" style="117" customWidth="1"/>
    <col min="8469" max="8469" width="25.7109375" style="117" customWidth="1"/>
    <col min="8470" max="8470" width="32.140625" style="117" customWidth="1"/>
    <col min="8471" max="8471" width="38.28515625" style="117" customWidth="1"/>
    <col min="8472" max="8472" width="32.7109375" style="117" customWidth="1"/>
    <col min="8473" max="8473" width="61" style="117" customWidth="1"/>
    <col min="8474" max="8474" width="25.7109375" style="117" customWidth="1"/>
    <col min="8475" max="8475" width="206.85546875" style="117" customWidth="1"/>
    <col min="8476" max="8476" width="71.140625" style="117" customWidth="1"/>
    <col min="8477" max="8477" width="13.5703125" style="117" customWidth="1"/>
    <col min="8478" max="8704" width="9.140625" style="117"/>
    <col min="8705" max="8705" width="155.28515625" style="117" customWidth="1"/>
    <col min="8706" max="8707" width="29.85546875" style="117" customWidth="1"/>
    <col min="8708" max="8708" width="26.7109375" style="117" customWidth="1"/>
    <col min="8709" max="8709" width="26.5703125" style="117" customWidth="1"/>
    <col min="8710" max="8710" width="25.7109375" style="117" customWidth="1"/>
    <col min="8711" max="8711" width="28.5703125" style="117" customWidth="1"/>
    <col min="8712" max="8712" width="27.7109375" style="117" customWidth="1"/>
    <col min="8713" max="8721" width="25.7109375" style="117" customWidth="1"/>
    <col min="8722" max="8722" width="29.7109375" style="117" customWidth="1"/>
    <col min="8723" max="8723" width="25.7109375" style="117" customWidth="1"/>
    <col min="8724" max="8724" width="44.7109375" style="117" customWidth="1"/>
    <col min="8725" max="8725" width="25.7109375" style="117" customWidth="1"/>
    <col min="8726" max="8726" width="32.140625" style="117" customWidth="1"/>
    <col min="8727" max="8727" width="38.28515625" style="117" customWidth="1"/>
    <col min="8728" max="8728" width="32.7109375" style="117" customWidth="1"/>
    <col min="8729" max="8729" width="61" style="117" customWidth="1"/>
    <col min="8730" max="8730" width="25.7109375" style="117" customWidth="1"/>
    <col min="8731" max="8731" width="206.85546875" style="117" customWidth="1"/>
    <col min="8732" max="8732" width="71.140625" style="117" customWidth="1"/>
    <col min="8733" max="8733" width="13.5703125" style="117" customWidth="1"/>
    <col min="8734" max="8960" width="9.140625" style="117"/>
    <col min="8961" max="8961" width="155.28515625" style="117" customWidth="1"/>
    <col min="8962" max="8963" width="29.85546875" style="117" customWidth="1"/>
    <col min="8964" max="8964" width="26.7109375" style="117" customWidth="1"/>
    <col min="8965" max="8965" width="26.5703125" style="117" customWidth="1"/>
    <col min="8966" max="8966" width="25.7109375" style="117" customWidth="1"/>
    <col min="8967" max="8967" width="28.5703125" style="117" customWidth="1"/>
    <col min="8968" max="8968" width="27.7109375" style="117" customWidth="1"/>
    <col min="8969" max="8977" width="25.7109375" style="117" customWidth="1"/>
    <col min="8978" max="8978" width="29.7109375" style="117" customWidth="1"/>
    <col min="8979" max="8979" width="25.7109375" style="117" customWidth="1"/>
    <col min="8980" max="8980" width="44.7109375" style="117" customWidth="1"/>
    <col min="8981" max="8981" width="25.7109375" style="117" customWidth="1"/>
    <col min="8982" max="8982" width="32.140625" style="117" customWidth="1"/>
    <col min="8983" max="8983" width="38.28515625" style="117" customWidth="1"/>
    <col min="8984" max="8984" width="32.7109375" style="117" customWidth="1"/>
    <col min="8985" max="8985" width="61" style="117" customWidth="1"/>
    <col min="8986" max="8986" width="25.7109375" style="117" customWidth="1"/>
    <col min="8987" max="8987" width="206.85546875" style="117" customWidth="1"/>
    <col min="8988" max="8988" width="71.140625" style="117" customWidth="1"/>
    <col min="8989" max="8989" width="13.5703125" style="117" customWidth="1"/>
    <col min="8990" max="9216" width="9.140625" style="117"/>
    <col min="9217" max="9217" width="155.28515625" style="117" customWidth="1"/>
    <col min="9218" max="9219" width="29.85546875" style="117" customWidth="1"/>
    <col min="9220" max="9220" width="26.7109375" style="117" customWidth="1"/>
    <col min="9221" max="9221" width="26.5703125" style="117" customWidth="1"/>
    <col min="9222" max="9222" width="25.7109375" style="117" customWidth="1"/>
    <col min="9223" max="9223" width="28.5703125" style="117" customWidth="1"/>
    <col min="9224" max="9224" width="27.7109375" style="117" customWidth="1"/>
    <col min="9225" max="9233" width="25.7109375" style="117" customWidth="1"/>
    <col min="9234" max="9234" width="29.7109375" style="117" customWidth="1"/>
    <col min="9235" max="9235" width="25.7109375" style="117" customWidth="1"/>
    <col min="9236" max="9236" width="44.7109375" style="117" customWidth="1"/>
    <col min="9237" max="9237" width="25.7109375" style="117" customWidth="1"/>
    <col min="9238" max="9238" width="32.140625" style="117" customWidth="1"/>
    <col min="9239" max="9239" width="38.28515625" style="117" customWidth="1"/>
    <col min="9240" max="9240" width="32.7109375" style="117" customWidth="1"/>
    <col min="9241" max="9241" width="61" style="117" customWidth="1"/>
    <col min="9242" max="9242" width="25.7109375" style="117" customWidth="1"/>
    <col min="9243" max="9243" width="206.85546875" style="117" customWidth="1"/>
    <col min="9244" max="9244" width="71.140625" style="117" customWidth="1"/>
    <col min="9245" max="9245" width="13.5703125" style="117" customWidth="1"/>
    <col min="9246" max="9472" width="9.140625" style="117"/>
    <col min="9473" max="9473" width="155.28515625" style="117" customWidth="1"/>
    <col min="9474" max="9475" width="29.85546875" style="117" customWidth="1"/>
    <col min="9476" max="9476" width="26.7109375" style="117" customWidth="1"/>
    <col min="9477" max="9477" width="26.5703125" style="117" customWidth="1"/>
    <col min="9478" max="9478" width="25.7109375" style="117" customWidth="1"/>
    <col min="9479" max="9479" width="28.5703125" style="117" customWidth="1"/>
    <col min="9480" max="9480" width="27.7109375" style="117" customWidth="1"/>
    <col min="9481" max="9489" width="25.7109375" style="117" customWidth="1"/>
    <col min="9490" max="9490" width="29.7109375" style="117" customWidth="1"/>
    <col min="9491" max="9491" width="25.7109375" style="117" customWidth="1"/>
    <col min="9492" max="9492" width="44.7109375" style="117" customWidth="1"/>
    <col min="9493" max="9493" width="25.7109375" style="117" customWidth="1"/>
    <col min="9494" max="9494" width="32.140625" style="117" customWidth="1"/>
    <col min="9495" max="9495" width="38.28515625" style="117" customWidth="1"/>
    <col min="9496" max="9496" width="32.7109375" style="117" customWidth="1"/>
    <col min="9497" max="9497" width="61" style="117" customWidth="1"/>
    <col min="9498" max="9498" width="25.7109375" style="117" customWidth="1"/>
    <col min="9499" max="9499" width="206.85546875" style="117" customWidth="1"/>
    <col min="9500" max="9500" width="71.140625" style="117" customWidth="1"/>
    <col min="9501" max="9501" width="13.5703125" style="117" customWidth="1"/>
    <col min="9502" max="9728" width="9.140625" style="117"/>
    <col min="9729" max="9729" width="155.28515625" style="117" customWidth="1"/>
    <col min="9730" max="9731" width="29.85546875" style="117" customWidth="1"/>
    <col min="9732" max="9732" width="26.7109375" style="117" customWidth="1"/>
    <col min="9733" max="9733" width="26.5703125" style="117" customWidth="1"/>
    <col min="9734" max="9734" width="25.7109375" style="117" customWidth="1"/>
    <col min="9735" max="9735" width="28.5703125" style="117" customWidth="1"/>
    <col min="9736" max="9736" width="27.7109375" style="117" customWidth="1"/>
    <col min="9737" max="9745" width="25.7109375" style="117" customWidth="1"/>
    <col min="9746" max="9746" width="29.7109375" style="117" customWidth="1"/>
    <col min="9747" max="9747" width="25.7109375" style="117" customWidth="1"/>
    <col min="9748" max="9748" width="44.7109375" style="117" customWidth="1"/>
    <col min="9749" max="9749" width="25.7109375" style="117" customWidth="1"/>
    <col min="9750" max="9750" width="32.140625" style="117" customWidth="1"/>
    <col min="9751" max="9751" width="38.28515625" style="117" customWidth="1"/>
    <col min="9752" max="9752" width="32.7109375" style="117" customWidth="1"/>
    <col min="9753" max="9753" width="61" style="117" customWidth="1"/>
    <col min="9754" max="9754" width="25.7109375" style="117" customWidth="1"/>
    <col min="9755" max="9755" width="206.85546875" style="117" customWidth="1"/>
    <col min="9756" max="9756" width="71.140625" style="117" customWidth="1"/>
    <col min="9757" max="9757" width="13.5703125" style="117" customWidth="1"/>
    <col min="9758" max="9984" width="9.140625" style="117"/>
    <col min="9985" max="9985" width="155.28515625" style="117" customWidth="1"/>
    <col min="9986" max="9987" width="29.85546875" style="117" customWidth="1"/>
    <col min="9988" max="9988" width="26.7109375" style="117" customWidth="1"/>
    <col min="9989" max="9989" width="26.5703125" style="117" customWidth="1"/>
    <col min="9990" max="9990" width="25.7109375" style="117" customWidth="1"/>
    <col min="9991" max="9991" width="28.5703125" style="117" customWidth="1"/>
    <col min="9992" max="9992" width="27.7109375" style="117" customWidth="1"/>
    <col min="9993" max="10001" width="25.7109375" style="117" customWidth="1"/>
    <col min="10002" max="10002" width="29.7109375" style="117" customWidth="1"/>
    <col min="10003" max="10003" width="25.7109375" style="117" customWidth="1"/>
    <col min="10004" max="10004" width="44.7109375" style="117" customWidth="1"/>
    <col min="10005" max="10005" width="25.7109375" style="117" customWidth="1"/>
    <col min="10006" max="10006" width="32.140625" style="117" customWidth="1"/>
    <col min="10007" max="10007" width="38.28515625" style="117" customWidth="1"/>
    <col min="10008" max="10008" width="32.7109375" style="117" customWidth="1"/>
    <col min="10009" max="10009" width="61" style="117" customWidth="1"/>
    <col min="10010" max="10010" width="25.7109375" style="117" customWidth="1"/>
    <col min="10011" max="10011" width="206.85546875" style="117" customWidth="1"/>
    <col min="10012" max="10012" width="71.140625" style="117" customWidth="1"/>
    <col min="10013" max="10013" width="13.5703125" style="117" customWidth="1"/>
    <col min="10014" max="10240" width="9.140625" style="117"/>
    <col min="10241" max="10241" width="155.28515625" style="117" customWidth="1"/>
    <col min="10242" max="10243" width="29.85546875" style="117" customWidth="1"/>
    <col min="10244" max="10244" width="26.7109375" style="117" customWidth="1"/>
    <col min="10245" max="10245" width="26.5703125" style="117" customWidth="1"/>
    <col min="10246" max="10246" width="25.7109375" style="117" customWidth="1"/>
    <col min="10247" max="10247" width="28.5703125" style="117" customWidth="1"/>
    <col min="10248" max="10248" width="27.7109375" style="117" customWidth="1"/>
    <col min="10249" max="10257" width="25.7109375" style="117" customWidth="1"/>
    <col min="10258" max="10258" width="29.7109375" style="117" customWidth="1"/>
    <col min="10259" max="10259" width="25.7109375" style="117" customWidth="1"/>
    <col min="10260" max="10260" width="44.7109375" style="117" customWidth="1"/>
    <col min="10261" max="10261" width="25.7109375" style="117" customWidth="1"/>
    <col min="10262" max="10262" width="32.140625" style="117" customWidth="1"/>
    <col min="10263" max="10263" width="38.28515625" style="117" customWidth="1"/>
    <col min="10264" max="10264" width="32.7109375" style="117" customWidth="1"/>
    <col min="10265" max="10265" width="61" style="117" customWidth="1"/>
    <col min="10266" max="10266" width="25.7109375" style="117" customWidth="1"/>
    <col min="10267" max="10267" width="206.85546875" style="117" customWidth="1"/>
    <col min="10268" max="10268" width="71.140625" style="117" customWidth="1"/>
    <col min="10269" max="10269" width="13.5703125" style="117" customWidth="1"/>
    <col min="10270" max="10496" width="9.140625" style="117"/>
    <col min="10497" max="10497" width="155.28515625" style="117" customWidth="1"/>
    <col min="10498" max="10499" width="29.85546875" style="117" customWidth="1"/>
    <col min="10500" max="10500" width="26.7109375" style="117" customWidth="1"/>
    <col min="10501" max="10501" width="26.5703125" style="117" customWidth="1"/>
    <col min="10502" max="10502" width="25.7109375" style="117" customWidth="1"/>
    <col min="10503" max="10503" width="28.5703125" style="117" customWidth="1"/>
    <col min="10504" max="10504" width="27.7109375" style="117" customWidth="1"/>
    <col min="10505" max="10513" width="25.7109375" style="117" customWidth="1"/>
    <col min="10514" max="10514" width="29.7109375" style="117" customWidth="1"/>
    <col min="10515" max="10515" width="25.7109375" style="117" customWidth="1"/>
    <col min="10516" max="10516" width="44.7109375" style="117" customWidth="1"/>
    <col min="10517" max="10517" width="25.7109375" style="117" customWidth="1"/>
    <col min="10518" max="10518" width="32.140625" style="117" customWidth="1"/>
    <col min="10519" max="10519" width="38.28515625" style="117" customWidth="1"/>
    <col min="10520" max="10520" width="32.7109375" style="117" customWidth="1"/>
    <col min="10521" max="10521" width="61" style="117" customWidth="1"/>
    <col min="10522" max="10522" width="25.7109375" style="117" customWidth="1"/>
    <col min="10523" max="10523" width="206.85546875" style="117" customWidth="1"/>
    <col min="10524" max="10524" width="71.140625" style="117" customWidth="1"/>
    <col min="10525" max="10525" width="13.5703125" style="117" customWidth="1"/>
    <col min="10526" max="10752" width="9.140625" style="117"/>
    <col min="10753" max="10753" width="155.28515625" style="117" customWidth="1"/>
    <col min="10754" max="10755" width="29.85546875" style="117" customWidth="1"/>
    <col min="10756" max="10756" width="26.7109375" style="117" customWidth="1"/>
    <col min="10757" max="10757" width="26.5703125" style="117" customWidth="1"/>
    <col min="10758" max="10758" width="25.7109375" style="117" customWidth="1"/>
    <col min="10759" max="10759" width="28.5703125" style="117" customWidth="1"/>
    <col min="10760" max="10760" width="27.7109375" style="117" customWidth="1"/>
    <col min="10761" max="10769" width="25.7109375" style="117" customWidth="1"/>
    <col min="10770" max="10770" width="29.7109375" style="117" customWidth="1"/>
    <col min="10771" max="10771" width="25.7109375" style="117" customWidth="1"/>
    <col min="10772" max="10772" width="44.7109375" style="117" customWidth="1"/>
    <col min="10773" max="10773" width="25.7109375" style="117" customWidth="1"/>
    <col min="10774" max="10774" width="32.140625" style="117" customWidth="1"/>
    <col min="10775" max="10775" width="38.28515625" style="117" customWidth="1"/>
    <col min="10776" max="10776" width="32.7109375" style="117" customWidth="1"/>
    <col min="10777" max="10777" width="61" style="117" customWidth="1"/>
    <col min="10778" max="10778" width="25.7109375" style="117" customWidth="1"/>
    <col min="10779" max="10779" width="206.85546875" style="117" customWidth="1"/>
    <col min="10780" max="10780" width="71.140625" style="117" customWidth="1"/>
    <col min="10781" max="10781" width="13.5703125" style="117" customWidth="1"/>
    <col min="10782" max="11008" width="9.140625" style="117"/>
    <col min="11009" max="11009" width="155.28515625" style="117" customWidth="1"/>
    <col min="11010" max="11011" width="29.85546875" style="117" customWidth="1"/>
    <col min="11012" max="11012" width="26.7109375" style="117" customWidth="1"/>
    <col min="11013" max="11013" width="26.5703125" style="117" customWidth="1"/>
    <col min="11014" max="11014" width="25.7109375" style="117" customWidth="1"/>
    <col min="11015" max="11015" width="28.5703125" style="117" customWidth="1"/>
    <col min="11016" max="11016" width="27.7109375" style="117" customWidth="1"/>
    <col min="11017" max="11025" width="25.7109375" style="117" customWidth="1"/>
    <col min="11026" max="11026" width="29.7109375" style="117" customWidth="1"/>
    <col min="11027" max="11027" width="25.7109375" style="117" customWidth="1"/>
    <col min="11028" max="11028" width="44.7109375" style="117" customWidth="1"/>
    <col min="11029" max="11029" width="25.7109375" style="117" customWidth="1"/>
    <col min="11030" max="11030" width="32.140625" style="117" customWidth="1"/>
    <col min="11031" max="11031" width="38.28515625" style="117" customWidth="1"/>
    <col min="11032" max="11032" width="32.7109375" style="117" customWidth="1"/>
    <col min="11033" max="11033" width="61" style="117" customWidth="1"/>
    <col min="11034" max="11034" width="25.7109375" style="117" customWidth="1"/>
    <col min="11035" max="11035" width="206.85546875" style="117" customWidth="1"/>
    <col min="11036" max="11036" width="71.140625" style="117" customWidth="1"/>
    <col min="11037" max="11037" width="13.5703125" style="117" customWidth="1"/>
    <col min="11038" max="11264" width="9.140625" style="117"/>
    <col min="11265" max="11265" width="155.28515625" style="117" customWidth="1"/>
    <col min="11266" max="11267" width="29.85546875" style="117" customWidth="1"/>
    <col min="11268" max="11268" width="26.7109375" style="117" customWidth="1"/>
    <col min="11269" max="11269" width="26.5703125" style="117" customWidth="1"/>
    <col min="11270" max="11270" width="25.7109375" style="117" customWidth="1"/>
    <col min="11271" max="11271" width="28.5703125" style="117" customWidth="1"/>
    <col min="11272" max="11272" width="27.7109375" style="117" customWidth="1"/>
    <col min="11273" max="11281" width="25.7109375" style="117" customWidth="1"/>
    <col min="11282" max="11282" width="29.7109375" style="117" customWidth="1"/>
    <col min="11283" max="11283" width="25.7109375" style="117" customWidth="1"/>
    <col min="11284" max="11284" width="44.7109375" style="117" customWidth="1"/>
    <col min="11285" max="11285" width="25.7109375" style="117" customWidth="1"/>
    <col min="11286" max="11286" width="32.140625" style="117" customWidth="1"/>
    <col min="11287" max="11287" width="38.28515625" style="117" customWidth="1"/>
    <col min="11288" max="11288" width="32.7109375" style="117" customWidth="1"/>
    <col min="11289" max="11289" width="61" style="117" customWidth="1"/>
    <col min="11290" max="11290" width="25.7109375" style="117" customWidth="1"/>
    <col min="11291" max="11291" width="206.85546875" style="117" customWidth="1"/>
    <col min="11292" max="11292" width="71.140625" style="117" customWidth="1"/>
    <col min="11293" max="11293" width="13.5703125" style="117" customWidth="1"/>
    <col min="11294" max="11520" width="9.140625" style="117"/>
    <col min="11521" max="11521" width="155.28515625" style="117" customWidth="1"/>
    <col min="11522" max="11523" width="29.85546875" style="117" customWidth="1"/>
    <col min="11524" max="11524" width="26.7109375" style="117" customWidth="1"/>
    <col min="11525" max="11525" width="26.5703125" style="117" customWidth="1"/>
    <col min="11526" max="11526" width="25.7109375" style="117" customWidth="1"/>
    <col min="11527" max="11527" width="28.5703125" style="117" customWidth="1"/>
    <col min="11528" max="11528" width="27.7109375" style="117" customWidth="1"/>
    <col min="11529" max="11537" width="25.7109375" style="117" customWidth="1"/>
    <col min="11538" max="11538" width="29.7109375" style="117" customWidth="1"/>
    <col min="11539" max="11539" width="25.7109375" style="117" customWidth="1"/>
    <col min="11540" max="11540" width="44.7109375" style="117" customWidth="1"/>
    <col min="11541" max="11541" width="25.7109375" style="117" customWidth="1"/>
    <col min="11542" max="11542" width="32.140625" style="117" customWidth="1"/>
    <col min="11543" max="11543" width="38.28515625" style="117" customWidth="1"/>
    <col min="11544" max="11544" width="32.7109375" style="117" customWidth="1"/>
    <col min="11545" max="11545" width="61" style="117" customWidth="1"/>
    <col min="11546" max="11546" width="25.7109375" style="117" customWidth="1"/>
    <col min="11547" max="11547" width="206.85546875" style="117" customWidth="1"/>
    <col min="11548" max="11548" width="71.140625" style="117" customWidth="1"/>
    <col min="11549" max="11549" width="13.5703125" style="117" customWidth="1"/>
    <col min="11550" max="11776" width="9.140625" style="117"/>
    <col min="11777" max="11777" width="155.28515625" style="117" customWidth="1"/>
    <col min="11778" max="11779" width="29.85546875" style="117" customWidth="1"/>
    <col min="11780" max="11780" width="26.7109375" style="117" customWidth="1"/>
    <col min="11781" max="11781" width="26.5703125" style="117" customWidth="1"/>
    <col min="11782" max="11782" width="25.7109375" style="117" customWidth="1"/>
    <col min="11783" max="11783" width="28.5703125" style="117" customWidth="1"/>
    <col min="11784" max="11784" width="27.7109375" style="117" customWidth="1"/>
    <col min="11785" max="11793" width="25.7109375" style="117" customWidth="1"/>
    <col min="11794" max="11794" width="29.7109375" style="117" customWidth="1"/>
    <col min="11795" max="11795" width="25.7109375" style="117" customWidth="1"/>
    <col min="11796" max="11796" width="44.7109375" style="117" customWidth="1"/>
    <col min="11797" max="11797" width="25.7109375" style="117" customWidth="1"/>
    <col min="11798" max="11798" width="32.140625" style="117" customWidth="1"/>
    <col min="11799" max="11799" width="38.28515625" style="117" customWidth="1"/>
    <col min="11800" max="11800" width="32.7109375" style="117" customWidth="1"/>
    <col min="11801" max="11801" width="61" style="117" customWidth="1"/>
    <col min="11802" max="11802" width="25.7109375" style="117" customWidth="1"/>
    <col min="11803" max="11803" width="206.85546875" style="117" customWidth="1"/>
    <col min="11804" max="11804" width="71.140625" style="117" customWidth="1"/>
    <col min="11805" max="11805" width="13.5703125" style="117" customWidth="1"/>
    <col min="11806" max="12032" width="9.140625" style="117"/>
    <col min="12033" max="12033" width="155.28515625" style="117" customWidth="1"/>
    <col min="12034" max="12035" width="29.85546875" style="117" customWidth="1"/>
    <col min="12036" max="12036" width="26.7109375" style="117" customWidth="1"/>
    <col min="12037" max="12037" width="26.5703125" style="117" customWidth="1"/>
    <col min="12038" max="12038" width="25.7109375" style="117" customWidth="1"/>
    <col min="12039" max="12039" width="28.5703125" style="117" customWidth="1"/>
    <col min="12040" max="12040" width="27.7109375" style="117" customWidth="1"/>
    <col min="12041" max="12049" width="25.7109375" style="117" customWidth="1"/>
    <col min="12050" max="12050" width="29.7109375" style="117" customWidth="1"/>
    <col min="12051" max="12051" width="25.7109375" style="117" customWidth="1"/>
    <col min="12052" max="12052" width="44.7109375" style="117" customWidth="1"/>
    <col min="12053" max="12053" width="25.7109375" style="117" customWidth="1"/>
    <col min="12054" max="12054" width="32.140625" style="117" customWidth="1"/>
    <col min="12055" max="12055" width="38.28515625" style="117" customWidth="1"/>
    <col min="12056" max="12056" width="32.7109375" style="117" customWidth="1"/>
    <col min="12057" max="12057" width="61" style="117" customWidth="1"/>
    <col min="12058" max="12058" width="25.7109375" style="117" customWidth="1"/>
    <col min="12059" max="12059" width="206.85546875" style="117" customWidth="1"/>
    <col min="12060" max="12060" width="71.140625" style="117" customWidth="1"/>
    <col min="12061" max="12061" width="13.5703125" style="117" customWidth="1"/>
    <col min="12062" max="12288" width="9.140625" style="117"/>
    <col min="12289" max="12289" width="155.28515625" style="117" customWidth="1"/>
    <col min="12290" max="12291" width="29.85546875" style="117" customWidth="1"/>
    <col min="12292" max="12292" width="26.7109375" style="117" customWidth="1"/>
    <col min="12293" max="12293" width="26.5703125" style="117" customWidth="1"/>
    <col min="12294" max="12294" width="25.7109375" style="117" customWidth="1"/>
    <col min="12295" max="12295" width="28.5703125" style="117" customWidth="1"/>
    <col min="12296" max="12296" width="27.7109375" style="117" customWidth="1"/>
    <col min="12297" max="12305" width="25.7109375" style="117" customWidth="1"/>
    <col min="12306" max="12306" width="29.7109375" style="117" customWidth="1"/>
    <col min="12307" max="12307" width="25.7109375" style="117" customWidth="1"/>
    <col min="12308" max="12308" width="44.7109375" style="117" customWidth="1"/>
    <col min="12309" max="12309" width="25.7109375" style="117" customWidth="1"/>
    <col min="12310" max="12310" width="32.140625" style="117" customWidth="1"/>
    <col min="12311" max="12311" width="38.28515625" style="117" customWidth="1"/>
    <col min="12312" max="12312" width="32.7109375" style="117" customWidth="1"/>
    <col min="12313" max="12313" width="61" style="117" customWidth="1"/>
    <col min="12314" max="12314" width="25.7109375" style="117" customWidth="1"/>
    <col min="12315" max="12315" width="206.85546875" style="117" customWidth="1"/>
    <col min="12316" max="12316" width="71.140625" style="117" customWidth="1"/>
    <col min="12317" max="12317" width="13.5703125" style="117" customWidth="1"/>
    <col min="12318" max="12544" width="9.140625" style="117"/>
    <col min="12545" max="12545" width="155.28515625" style="117" customWidth="1"/>
    <col min="12546" max="12547" width="29.85546875" style="117" customWidth="1"/>
    <col min="12548" max="12548" width="26.7109375" style="117" customWidth="1"/>
    <col min="12549" max="12549" width="26.5703125" style="117" customWidth="1"/>
    <col min="12550" max="12550" width="25.7109375" style="117" customWidth="1"/>
    <col min="12551" max="12551" width="28.5703125" style="117" customWidth="1"/>
    <col min="12552" max="12552" width="27.7109375" style="117" customWidth="1"/>
    <col min="12553" max="12561" width="25.7109375" style="117" customWidth="1"/>
    <col min="12562" max="12562" width="29.7109375" style="117" customWidth="1"/>
    <col min="12563" max="12563" width="25.7109375" style="117" customWidth="1"/>
    <col min="12564" max="12564" width="44.7109375" style="117" customWidth="1"/>
    <col min="12565" max="12565" width="25.7109375" style="117" customWidth="1"/>
    <col min="12566" max="12566" width="32.140625" style="117" customWidth="1"/>
    <col min="12567" max="12567" width="38.28515625" style="117" customWidth="1"/>
    <col min="12568" max="12568" width="32.7109375" style="117" customWidth="1"/>
    <col min="12569" max="12569" width="61" style="117" customWidth="1"/>
    <col min="12570" max="12570" width="25.7109375" style="117" customWidth="1"/>
    <col min="12571" max="12571" width="206.85546875" style="117" customWidth="1"/>
    <col min="12572" max="12572" width="71.140625" style="117" customWidth="1"/>
    <col min="12573" max="12573" width="13.5703125" style="117" customWidth="1"/>
    <col min="12574" max="12800" width="9.140625" style="117"/>
    <col min="12801" max="12801" width="155.28515625" style="117" customWidth="1"/>
    <col min="12802" max="12803" width="29.85546875" style="117" customWidth="1"/>
    <col min="12804" max="12804" width="26.7109375" style="117" customWidth="1"/>
    <col min="12805" max="12805" width="26.5703125" style="117" customWidth="1"/>
    <col min="12806" max="12806" width="25.7109375" style="117" customWidth="1"/>
    <col min="12807" max="12807" width="28.5703125" style="117" customWidth="1"/>
    <col min="12808" max="12808" width="27.7109375" style="117" customWidth="1"/>
    <col min="12809" max="12817" width="25.7109375" style="117" customWidth="1"/>
    <col min="12818" max="12818" width="29.7109375" style="117" customWidth="1"/>
    <col min="12819" max="12819" width="25.7109375" style="117" customWidth="1"/>
    <col min="12820" max="12820" width="44.7109375" style="117" customWidth="1"/>
    <col min="12821" max="12821" width="25.7109375" style="117" customWidth="1"/>
    <col min="12822" max="12822" width="32.140625" style="117" customWidth="1"/>
    <col min="12823" max="12823" width="38.28515625" style="117" customWidth="1"/>
    <col min="12824" max="12824" width="32.7109375" style="117" customWidth="1"/>
    <col min="12825" max="12825" width="61" style="117" customWidth="1"/>
    <col min="12826" max="12826" width="25.7109375" style="117" customWidth="1"/>
    <col min="12827" max="12827" width="206.85546875" style="117" customWidth="1"/>
    <col min="12828" max="12828" width="71.140625" style="117" customWidth="1"/>
    <col min="12829" max="12829" width="13.5703125" style="117" customWidth="1"/>
    <col min="12830" max="13056" width="9.140625" style="117"/>
    <col min="13057" max="13057" width="155.28515625" style="117" customWidth="1"/>
    <col min="13058" max="13059" width="29.85546875" style="117" customWidth="1"/>
    <col min="13060" max="13060" width="26.7109375" style="117" customWidth="1"/>
    <col min="13061" max="13061" width="26.5703125" style="117" customWidth="1"/>
    <col min="13062" max="13062" width="25.7109375" style="117" customWidth="1"/>
    <col min="13063" max="13063" width="28.5703125" style="117" customWidth="1"/>
    <col min="13064" max="13064" width="27.7109375" style="117" customWidth="1"/>
    <col min="13065" max="13073" width="25.7109375" style="117" customWidth="1"/>
    <col min="13074" max="13074" width="29.7109375" style="117" customWidth="1"/>
    <col min="13075" max="13075" width="25.7109375" style="117" customWidth="1"/>
    <col min="13076" max="13076" width="44.7109375" style="117" customWidth="1"/>
    <col min="13077" max="13077" width="25.7109375" style="117" customWidth="1"/>
    <col min="13078" max="13078" width="32.140625" style="117" customWidth="1"/>
    <col min="13079" max="13079" width="38.28515625" style="117" customWidth="1"/>
    <col min="13080" max="13080" width="32.7109375" style="117" customWidth="1"/>
    <col min="13081" max="13081" width="61" style="117" customWidth="1"/>
    <col min="13082" max="13082" width="25.7109375" style="117" customWidth="1"/>
    <col min="13083" max="13083" width="206.85546875" style="117" customWidth="1"/>
    <col min="13084" max="13084" width="71.140625" style="117" customWidth="1"/>
    <col min="13085" max="13085" width="13.5703125" style="117" customWidth="1"/>
    <col min="13086" max="13312" width="9.140625" style="117"/>
    <col min="13313" max="13313" width="155.28515625" style="117" customWidth="1"/>
    <col min="13314" max="13315" width="29.85546875" style="117" customWidth="1"/>
    <col min="13316" max="13316" width="26.7109375" style="117" customWidth="1"/>
    <col min="13317" max="13317" width="26.5703125" style="117" customWidth="1"/>
    <col min="13318" max="13318" width="25.7109375" style="117" customWidth="1"/>
    <col min="13319" max="13319" width="28.5703125" style="117" customWidth="1"/>
    <col min="13320" max="13320" width="27.7109375" style="117" customWidth="1"/>
    <col min="13321" max="13329" width="25.7109375" style="117" customWidth="1"/>
    <col min="13330" max="13330" width="29.7109375" style="117" customWidth="1"/>
    <col min="13331" max="13331" width="25.7109375" style="117" customWidth="1"/>
    <col min="13332" max="13332" width="44.7109375" style="117" customWidth="1"/>
    <col min="13333" max="13333" width="25.7109375" style="117" customWidth="1"/>
    <col min="13334" max="13334" width="32.140625" style="117" customWidth="1"/>
    <col min="13335" max="13335" width="38.28515625" style="117" customWidth="1"/>
    <col min="13336" max="13336" width="32.7109375" style="117" customWidth="1"/>
    <col min="13337" max="13337" width="61" style="117" customWidth="1"/>
    <col min="13338" max="13338" width="25.7109375" style="117" customWidth="1"/>
    <col min="13339" max="13339" width="206.85546875" style="117" customWidth="1"/>
    <col min="13340" max="13340" width="71.140625" style="117" customWidth="1"/>
    <col min="13341" max="13341" width="13.5703125" style="117" customWidth="1"/>
    <col min="13342" max="13568" width="9.140625" style="117"/>
    <col min="13569" max="13569" width="155.28515625" style="117" customWidth="1"/>
    <col min="13570" max="13571" width="29.85546875" style="117" customWidth="1"/>
    <col min="13572" max="13572" width="26.7109375" style="117" customWidth="1"/>
    <col min="13573" max="13573" width="26.5703125" style="117" customWidth="1"/>
    <col min="13574" max="13574" width="25.7109375" style="117" customWidth="1"/>
    <col min="13575" max="13575" width="28.5703125" style="117" customWidth="1"/>
    <col min="13576" max="13576" width="27.7109375" style="117" customWidth="1"/>
    <col min="13577" max="13585" width="25.7109375" style="117" customWidth="1"/>
    <col min="13586" max="13586" width="29.7109375" style="117" customWidth="1"/>
    <col min="13587" max="13587" width="25.7109375" style="117" customWidth="1"/>
    <col min="13588" max="13588" width="44.7109375" style="117" customWidth="1"/>
    <col min="13589" max="13589" width="25.7109375" style="117" customWidth="1"/>
    <col min="13590" max="13590" width="32.140625" style="117" customWidth="1"/>
    <col min="13591" max="13591" width="38.28515625" style="117" customWidth="1"/>
    <col min="13592" max="13592" width="32.7109375" style="117" customWidth="1"/>
    <col min="13593" max="13593" width="61" style="117" customWidth="1"/>
    <col min="13594" max="13594" width="25.7109375" style="117" customWidth="1"/>
    <col min="13595" max="13595" width="206.85546875" style="117" customWidth="1"/>
    <col min="13596" max="13596" width="71.140625" style="117" customWidth="1"/>
    <col min="13597" max="13597" width="13.5703125" style="117" customWidth="1"/>
    <col min="13598" max="13824" width="9.140625" style="117"/>
    <col min="13825" max="13825" width="155.28515625" style="117" customWidth="1"/>
    <col min="13826" max="13827" width="29.85546875" style="117" customWidth="1"/>
    <col min="13828" max="13828" width="26.7109375" style="117" customWidth="1"/>
    <col min="13829" max="13829" width="26.5703125" style="117" customWidth="1"/>
    <col min="13830" max="13830" width="25.7109375" style="117" customWidth="1"/>
    <col min="13831" max="13831" width="28.5703125" style="117" customWidth="1"/>
    <col min="13832" max="13832" width="27.7109375" style="117" customWidth="1"/>
    <col min="13833" max="13841" width="25.7109375" style="117" customWidth="1"/>
    <col min="13842" max="13842" width="29.7109375" style="117" customWidth="1"/>
    <col min="13843" max="13843" width="25.7109375" style="117" customWidth="1"/>
    <col min="13844" max="13844" width="44.7109375" style="117" customWidth="1"/>
    <col min="13845" max="13845" width="25.7109375" style="117" customWidth="1"/>
    <col min="13846" max="13846" width="32.140625" style="117" customWidth="1"/>
    <col min="13847" max="13847" width="38.28515625" style="117" customWidth="1"/>
    <col min="13848" max="13848" width="32.7109375" style="117" customWidth="1"/>
    <col min="13849" max="13849" width="61" style="117" customWidth="1"/>
    <col min="13850" max="13850" width="25.7109375" style="117" customWidth="1"/>
    <col min="13851" max="13851" width="206.85546875" style="117" customWidth="1"/>
    <col min="13852" max="13852" width="71.140625" style="117" customWidth="1"/>
    <col min="13853" max="13853" width="13.5703125" style="117" customWidth="1"/>
    <col min="13854" max="14080" width="9.140625" style="117"/>
    <col min="14081" max="14081" width="155.28515625" style="117" customWidth="1"/>
    <col min="14082" max="14083" width="29.85546875" style="117" customWidth="1"/>
    <col min="14084" max="14084" width="26.7109375" style="117" customWidth="1"/>
    <col min="14085" max="14085" width="26.5703125" style="117" customWidth="1"/>
    <col min="14086" max="14086" width="25.7109375" style="117" customWidth="1"/>
    <col min="14087" max="14087" width="28.5703125" style="117" customWidth="1"/>
    <col min="14088" max="14088" width="27.7109375" style="117" customWidth="1"/>
    <col min="14089" max="14097" width="25.7109375" style="117" customWidth="1"/>
    <col min="14098" max="14098" width="29.7109375" style="117" customWidth="1"/>
    <col min="14099" max="14099" width="25.7109375" style="117" customWidth="1"/>
    <col min="14100" max="14100" width="44.7109375" style="117" customWidth="1"/>
    <col min="14101" max="14101" width="25.7109375" style="117" customWidth="1"/>
    <col min="14102" max="14102" width="32.140625" style="117" customWidth="1"/>
    <col min="14103" max="14103" width="38.28515625" style="117" customWidth="1"/>
    <col min="14104" max="14104" width="32.7109375" style="117" customWidth="1"/>
    <col min="14105" max="14105" width="61" style="117" customWidth="1"/>
    <col min="14106" max="14106" width="25.7109375" style="117" customWidth="1"/>
    <col min="14107" max="14107" width="206.85546875" style="117" customWidth="1"/>
    <col min="14108" max="14108" width="71.140625" style="117" customWidth="1"/>
    <col min="14109" max="14109" width="13.5703125" style="117" customWidth="1"/>
    <col min="14110" max="14336" width="9.140625" style="117"/>
    <col min="14337" max="14337" width="155.28515625" style="117" customWidth="1"/>
    <col min="14338" max="14339" width="29.85546875" style="117" customWidth="1"/>
    <col min="14340" max="14340" width="26.7109375" style="117" customWidth="1"/>
    <col min="14341" max="14341" width="26.5703125" style="117" customWidth="1"/>
    <col min="14342" max="14342" width="25.7109375" style="117" customWidth="1"/>
    <col min="14343" max="14343" width="28.5703125" style="117" customWidth="1"/>
    <col min="14344" max="14344" width="27.7109375" style="117" customWidth="1"/>
    <col min="14345" max="14353" width="25.7109375" style="117" customWidth="1"/>
    <col min="14354" max="14354" width="29.7109375" style="117" customWidth="1"/>
    <col min="14355" max="14355" width="25.7109375" style="117" customWidth="1"/>
    <col min="14356" max="14356" width="44.7109375" style="117" customWidth="1"/>
    <col min="14357" max="14357" width="25.7109375" style="117" customWidth="1"/>
    <col min="14358" max="14358" width="32.140625" style="117" customWidth="1"/>
    <col min="14359" max="14359" width="38.28515625" style="117" customWidth="1"/>
    <col min="14360" max="14360" width="32.7109375" style="117" customWidth="1"/>
    <col min="14361" max="14361" width="61" style="117" customWidth="1"/>
    <col min="14362" max="14362" width="25.7109375" style="117" customWidth="1"/>
    <col min="14363" max="14363" width="206.85546875" style="117" customWidth="1"/>
    <col min="14364" max="14364" width="71.140625" style="117" customWidth="1"/>
    <col min="14365" max="14365" width="13.5703125" style="117" customWidth="1"/>
    <col min="14366" max="14592" width="9.140625" style="117"/>
    <col min="14593" max="14593" width="155.28515625" style="117" customWidth="1"/>
    <col min="14594" max="14595" width="29.85546875" style="117" customWidth="1"/>
    <col min="14596" max="14596" width="26.7109375" style="117" customWidth="1"/>
    <col min="14597" max="14597" width="26.5703125" style="117" customWidth="1"/>
    <col min="14598" max="14598" width="25.7109375" style="117" customWidth="1"/>
    <col min="14599" max="14599" width="28.5703125" style="117" customWidth="1"/>
    <col min="14600" max="14600" width="27.7109375" style="117" customWidth="1"/>
    <col min="14601" max="14609" width="25.7109375" style="117" customWidth="1"/>
    <col min="14610" max="14610" width="29.7109375" style="117" customWidth="1"/>
    <col min="14611" max="14611" width="25.7109375" style="117" customWidth="1"/>
    <col min="14612" max="14612" width="44.7109375" style="117" customWidth="1"/>
    <col min="14613" max="14613" width="25.7109375" style="117" customWidth="1"/>
    <col min="14614" max="14614" width="32.140625" style="117" customWidth="1"/>
    <col min="14615" max="14615" width="38.28515625" style="117" customWidth="1"/>
    <col min="14616" max="14616" width="32.7109375" style="117" customWidth="1"/>
    <col min="14617" max="14617" width="61" style="117" customWidth="1"/>
    <col min="14618" max="14618" width="25.7109375" style="117" customWidth="1"/>
    <col min="14619" max="14619" width="206.85546875" style="117" customWidth="1"/>
    <col min="14620" max="14620" width="71.140625" style="117" customWidth="1"/>
    <col min="14621" max="14621" width="13.5703125" style="117" customWidth="1"/>
    <col min="14622" max="14848" width="9.140625" style="117"/>
    <col min="14849" max="14849" width="155.28515625" style="117" customWidth="1"/>
    <col min="14850" max="14851" width="29.85546875" style="117" customWidth="1"/>
    <col min="14852" max="14852" width="26.7109375" style="117" customWidth="1"/>
    <col min="14853" max="14853" width="26.5703125" style="117" customWidth="1"/>
    <col min="14854" max="14854" width="25.7109375" style="117" customWidth="1"/>
    <col min="14855" max="14855" width="28.5703125" style="117" customWidth="1"/>
    <col min="14856" max="14856" width="27.7109375" style="117" customWidth="1"/>
    <col min="14857" max="14865" width="25.7109375" style="117" customWidth="1"/>
    <col min="14866" max="14866" width="29.7109375" style="117" customWidth="1"/>
    <col min="14867" max="14867" width="25.7109375" style="117" customWidth="1"/>
    <col min="14868" max="14868" width="44.7109375" style="117" customWidth="1"/>
    <col min="14869" max="14869" width="25.7109375" style="117" customWidth="1"/>
    <col min="14870" max="14870" width="32.140625" style="117" customWidth="1"/>
    <col min="14871" max="14871" width="38.28515625" style="117" customWidth="1"/>
    <col min="14872" max="14872" width="32.7109375" style="117" customWidth="1"/>
    <col min="14873" max="14873" width="61" style="117" customWidth="1"/>
    <col min="14874" max="14874" width="25.7109375" style="117" customWidth="1"/>
    <col min="14875" max="14875" width="206.85546875" style="117" customWidth="1"/>
    <col min="14876" max="14876" width="71.140625" style="117" customWidth="1"/>
    <col min="14877" max="14877" width="13.5703125" style="117" customWidth="1"/>
    <col min="14878" max="15104" width="9.140625" style="117"/>
    <col min="15105" max="15105" width="155.28515625" style="117" customWidth="1"/>
    <col min="15106" max="15107" width="29.85546875" style="117" customWidth="1"/>
    <col min="15108" max="15108" width="26.7109375" style="117" customWidth="1"/>
    <col min="15109" max="15109" width="26.5703125" style="117" customWidth="1"/>
    <col min="15110" max="15110" width="25.7109375" style="117" customWidth="1"/>
    <col min="15111" max="15111" width="28.5703125" style="117" customWidth="1"/>
    <col min="15112" max="15112" width="27.7109375" style="117" customWidth="1"/>
    <col min="15113" max="15121" width="25.7109375" style="117" customWidth="1"/>
    <col min="15122" max="15122" width="29.7109375" style="117" customWidth="1"/>
    <col min="15123" max="15123" width="25.7109375" style="117" customWidth="1"/>
    <col min="15124" max="15124" width="44.7109375" style="117" customWidth="1"/>
    <col min="15125" max="15125" width="25.7109375" style="117" customWidth="1"/>
    <col min="15126" max="15126" width="32.140625" style="117" customWidth="1"/>
    <col min="15127" max="15127" width="38.28515625" style="117" customWidth="1"/>
    <col min="15128" max="15128" width="32.7109375" style="117" customWidth="1"/>
    <col min="15129" max="15129" width="61" style="117" customWidth="1"/>
    <col min="15130" max="15130" width="25.7109375" style="117" customWidth="1"/>
    <col min="15131" max="15131" width="206.85546875" style="117" customWidth="1"/>
    <col min="15132" max="15132" width="71.140625" style="117" customWidth="1"/>
    <col min="15133" max="15133" width="13.5703125" style="117" customWidth="1"/>
    <col min="15134" max="15360" width="9.140625" style="117"/>
    <col min="15361" max="15361" width="155.28515625" style="117" customWidth="1"/>
    <col min="15362" max="15363" width="29.85546875" style="117" customWidth="1"/>
    <col min="15364" max="15364" width="26.7109375" style="117" customWidth="1"/>
    <col min="15365" max="15365" width="26.5703125" style="117" customWidth="1"/>
    <col min="15366" max="15366" width="25.7109375" style="117" customWidth="1"/>
    <col min="15367" max="15367" width="28.5703125" style="117" customWidth="1"/>
    <col min="15368" max="15368" width="27.7109375" style="117" customWidth="1"/>
    <col min="15369" max="15377" width="25.7109375" style="117" customWidth="1"/>
    <col min="15378" max="15378" width="29.7109375" style="117" customWidth="1"/>
    <col min="15379" max="15379" width="25.7109375" style="117" customWidth="1"/>
    <col min="15380" max="15380" width="44.7109375" style="117" customWidth="1"/>
    <col min="15381" max="15381" width="25.7109375" style="117" customWidth="1"/>
    <col min="15382" max="15382" width="32.140625" style="117" customWidth="1"/>
    <col min="15383" max="15383" width="38.28515625" style="117" customWidth="1"/>
    <col min="15384" max="15384" width="32.7109375" style="117" customWidth="1"/>
    <col min="15385" max="15385" width="61" style="117" customWidth="1"/>
    <col min="15386" max="15386" width="25.7109375" style="117" customWidth="1"/>
    <col min="15387" max="15387" width="206.85546875" style="117" customWidth="1"/>
    <col min="15388" max="15388" width="71.140625" style="117" customWidth="1"/>
    <col min="15389" max="15389" width="13.5703125" style="117" customWidth="1"/>
    <col min="15390" max="15616" width="9.140625" style="117"/>
    <col min="15617" max="15617" width="155.28515625" style="117" customWidth="1"/>
    <col min="15618" max="15619" width="29.85546875" style="117" customWidth="1"/>
    <col min="15620" max="15620" width="26.7109375" style="117" customWidth="1"/>
    <col min="15621" max="15621" width="26.5703125" style="117" customWidth="1"/>
    <col min="15622" max="15622" width="25.7109375" style="117" customWidth="1"/>
    <col min="15623" max="15623" width="28.5703125" style="117" customWidth="1"/>
    <col min="15624" max="15624" width="27.7109375" style="117" customWidth="1"/>
    <col min="15625" max="15633" width="25.7109375" style="117" customWidth="1"/>
    <col min="15634" max="15634" width="29.7109375" style="117" customWidth="1"/>
    <col min="15635" max="15635" width="25.7109375" style="117" customWidth="1"/>
    <col min="15636" max="15636" width="44.7109375" style="117" customWidth="1"/>
    <col min="15637" max="15637" width="25.7109375" style="117" customWidth="1"/>
    <col min="15638" max="15638" width="32.140625" style="117" customWidth="1"/>
    <col min="15639" max="15639" width="38.28515625" style="117" customWidth="1"/>
    <col min="15640" max="15640" width="32.7109375" style="117" customWidth="1"/>
    <col min="15641" max="15641" width="61" style="117" customWidth="1"/>
    <col min="15642" max="15642" width="25.7109375" style="117" customWidth="1"/>
    <col min="15643" max="15643" width="206.85546875" style="117" customWidth="1"/>
    <col min="15644" max="15644" width="71.140625" style="117" customWidth="1"/>
    <col min="15645" max="15645" width="13.5703125" style="117" customWidth="1"/>
    <col min="15646" max="15872" width="9.140625" style="117"/>
    <col min="15873" max="15873" width="155.28515625" style="117" customWidth="1"/>
    <col min="15874" max="15875" width="29.85546875" style="117" customWidth="1"/>
    <col min="15876" max="15876" width="26.7109375" style="117" customWidth="1"/>
    <col min="15877" max="15877" width="26.5703125" style="117" customWidth="1"/>
    <col min="15878" max="15878" width="25.7109375" style="117" customWidth="1"/>
    <col min="15879" max="15879" width="28.5703125" style="117" customWidth="1"/>
    <col min="15880" max="15880" width="27.7109375" style="117" customWidth="1"/>
    <col min="15881" max="15889" width="25.7109375" style="117" customWidth="1"/>
    <col min="15890" max="15890" width="29.7109375" style="117" customWidth="1"/>
    <col min="15891" max="15891" width="25.7109375" style="117" customWidth="1"/>
    <col min="15892" max="15892" width="44.7109375" style="117" customWidth="1"/>
    <col min="15893" max="15893" width="25.7109375" style="117" customWidth="1"/>
    <col min="15894" max="15894" width="32.140625" style="117" customWidth="1"/>
    <col min="15895" max="15895" width="38.28515625" style="117" customWidth="1"/>
    <col min="15896" max="15896" width="32.7109375" style="117" customWidth="1"/>
    <col min="15897" max="15897" width="61" style="117" customWidth="1"/>
    <col min="15898" max="15898" width="25.7109375" style="117" customWidth="1"/>
    <col min="15899" max="15899" width="206.85546875" style="117" customWidth="1"/>
    <col min="15900" max="15900" width="71.140625" style="117" customWidth="1"/>
    <col min="15901" max="15901" width="13.5703125" style="117" customWidth="1"/>
    <col min="15902" max="16128" width="9.140625" style="117"/>
    <col min="16129" max="16129" width="155.28515625" style="117" customWidth="1"/>
    <col min="16130" max="16131" width="29.85546875" style="117" customWidth="1"/>
    <col min="16132" max="16132" width="26.7109375" style="117" customWidth="1"/>
    <col min="16133" max="16133" width="26.5703125" style="117" customWidth="1"/>
    <col min="16134" max="16134" width="25.7109375" style="117" customWidth="1"/>
    <col min="16135" max="16135" width="28.5703125" style="117" customWidth="1"/>
    <col min="16136" max="16136" width="27.7109375" style="117" customWidth="1"/>
    <col min="16137" max="16145" width="25.7109375" style="117" customWidth="1"/>
    <col min="16146" max="16146" width="29.7109375" style="117" customWidth="1"/>
    <col min="16147" max="16147" width="25.7109375" style="117" customWidth="1"/>
    <col min="16148" max="16148" width="44.7109375" style="117" customWidth="1"/>
    <col min="16149" max="16149" width="25.7109375" style="117" customWidth="1"/>
    <col min="16150" max="16150" width="32.140625" style="117" customWidth="1"/>
    <col min="16151" max="16151" width="38.28515625" style="117" customWidth="1"/>
    <col min="16152" max="16152" width="32.7109375" style="117" customWidth="1"/>
    <col min="16153" max="16153" width="61" style="117" customWidth="1"/>
    <col min="16154" max="16154" width="25.7109375" style="117" customWidth="1"/>
    <col min="16155" max="16155" width="206.85546875" style="117" customWidth="1"/>
    <col min="16156" max="16156" width="71.140625" style="117" customWidth="1"/>
    <col min="16157" max="16157" width="13.5703125" style="117" customWidth="1"/>
    <col min="16158" max="16384" width="9.140625" style="117"/>
  </cols>
  <sheetData>
    <row r="1" spans="1:12" x14ac:dyDescent="0.2">
      <c r="A1" s="116" t="s">
        <v>141</v>
      </c>
      <c r="D1" s="118"/>
    </row>
    <row r="2" spans="1:12" x14ac:dyDescent="0.2">
      <c r="A2" s="201">
        <v>1</v>
      </c>
      <c r="B2" s="200" t="s">
        <v>142</v>
      </c>
      <c r="G2" s="116"/>
      <c r="I2" s="116"/>
    </row>
    <row r="3" spans="1:12" x14ac:dyDescent="0.2">
      <c r="A3" s="201">
        <v>2</v>
      </c>
      <c r="B3" s="200" t="s">
        <v>143</v>
      </c>
      <c r="G3" s="116"/>
      <c r="I3" s="116"/>
    </row>
    <row r="4" spans="1:12" x14ac:dyDescent="0.2">
      <c r="A4" s="201">
        <v>3</v>
      </c>
      <c r="B4" s="200" t="s">
        <v>885</v>
      </c>
      <c r="G4" s="116"/>
      <c r="I4" s="116"/>
    </row>
    <row r="5" spans="1:12" x14ac:dyDescent="0.2">
      <c r="A5" s="201">
        <v>4</v>
      </c>
      <c r="B5" s="200" t="s">
        <v>144</v>
      </c>
      <c r="G5" s="116"/>
      <c r="I5" s="116"/>
    </row>
    <row r="6" spans="1:12" x14ac:dyDescent="0.2">
      <c r="A6" s="201">
        <v>5</v>
      </c>
      <c r="B6" s="200" t="s">
        <v>145</v>
      </c>
      <c r="C6" s="116"/>
    </row>
    <row r="7" spans="1:12" x14ac:dyDescent="0.2">
      <c r="A7" s="120"/>
      <c r="B7" s="121">
        <v>1</v>
      </c>
      <c r="C7" s="121" t="str">
        <f>VLOOKUP(B7,A2:B6,2,FALSE)</f>
        <v>Hernieuwbare elektriciteit</v>
      </c>
    </row>
    <row r="8" spans="1:12" x14ac:dyDescent="0.2">
      <c r="A8" s="120"/>
    </row>
    <row r="9" spans="1:12" x14ac:dyDescent="0.2">
      <c r="A9" s="116" t="s">
        <v>146</v>
      </c>
      <c r="J9" s="116"/>
      <c r="K9" s="116"/>
      <c r="L9" s="116"/>
    </row>
    <row r="10" spans="1:12" x14ac:dyDescent="0.2">
      <c r="A10" s="117" t="str">
        <f>B2</f>
        <v>Hernieuwbare elektriciteit</v>
      </c>
      <c r="B10" s="117" t="s">
        <v>147</v>
      </c>
      <c r="C10" s="117" t="s">
        <v>148</v>
      </c>
      <c r="D10" s="117" t="s">
        <v>149</v>
      </c>
      <c r="E10" s="117" t="s">
        <v>150</v>
      </c>
    </row>
    <row r="11" spans="1:12" x14ac:dyDescent="0.2">
      <c r="A11" s="117" t="str">
        <f>B3</f>
        <v>Hernieuwbaar gas</v>
      </c>
      <c r="B11" s="117" t="s">
        <v>151</v>
      </c>
      <c r="C11" s="117" t="s">
        <v>152</v>
      </c>
    </row>
    <row r="12" spans="1:12" x14ac:dyDescent="0.2">
      <c r="A12" s="117" t="str">
        <f>B4</f>
        <v>Hernieuwbare warmte (en gecombineerde opwekking)</v>
      </c>
      <c r="B12" s="117" t="s">
        <v>153</v>
      </c>
      <c r="C12" s="117" t="s">
        <v>154</v>
      </c>
      <c r="D12" s="117" t="s">
        <v>155</v>
      </c>
      <c r="E12" s="117" t="s">
        <v>156</v>
      </c>
      <c r="F12" s="117" t="s">
        <v>157</v>
      </c>
    </row>
    <row r="13" spans="1:12" ht="23.25" customHeight="1" x14ac:dyDescent="0.2">
      <c r="A13" s="117" t="str">
        <f>B5</f>
        <v>CO₂-arme warmte</v>
      </c>
      <c r="B13" s="117" t="s">
        <v>158</v>
      </c>
      <c r="C13" s="122" t="s">
        <v>159</v>
      </c>
      <c r="D13" s="117" t="s">
        <v>534</v>
      </c>
      <c r="E13" s="122" t="s">
        <v>160</v>
      </c>
      <c r="F13" s="122" t="s">
        <v>161</v>
      </c>
      <c r="G13" s="122" t="s">
        <v>162</v>
      </c>
      <c r="H13" s="122" t="s">
        <v>163</v>
      </c>
      <c r="I13" s="122" t="s">
        <v>164</v>
      </c>
    </row>
    <row r="14" spans="1:12" ht="24" customHeight="1" x14ac:dyDescent="0.2">
      <c r="A14" s="117" t="str">
        <f>B6</f>
        <v>CO₂-arme productie</v>
      </c>
      <c r="B14" s="122" t="s">
        <v>165</v>
      </c>
      <c r="C14" s="122" t="s">
        <v>166</v>
      </c>
      <c r="D14" s="122" t="s">
        <v>167</v>
      </c>
      <c r="E14" s="122" t="s">
        <v>168</v>
      </c>
      <c r="F14" s="122" t="s">
        <v>169</v>
      </c>
      <c r="G14" s="122" t="s">
        <v>170</v>
      </c>
      <c r="H14" s="122" t="s">
        <v>171</v>
      </c>
      <c r="I14" s="122" t="s">
        <v>172</v>
      </c>
      <c r="J14" s="122" t="s">
        <v>173</v>
      </c>
    </row>
    <row r="16" spans="1:12" x14ac:dyDescent="0.2">
      <c r="A16" s="201" t="str">
        <f>VLOOKUP($C$7,A$10:$J$14,2,FALSE)</f>
        <v>Osmose</v>
      </c>
      <c r="B16" s="201">
        <v>1</v>
      </c>
      <c r="C16" s="200" t="str">
        <f t="shared" ref="C16:C24" si="0">IF(A16=0,"",A16)</f>
        <v>Osmose</v>
      </c>
    </row>
    <row r="17" spans="1:20" x14ac:dyDescent="0.2">
      <c r="A17" s="201" t="str">
        <f>VLOOKUP($C$7,A$10:$J$14,3,FALSE)</f>
        <v>Waterkracht</v>
      </c>
      <c r="B17" s="201">
        <v>2</v>
      </c>
      <c r="C17" s="200" t="str">
        <f t="shared" si="0"/>
        <v>Waterkracht</v>
      </c>
      <c r="G17" s="116"/>
    </row>
    <row r="18" spans="1:20" x14ac:dyDescent="0.2">
      <c r="A18" s="201" t="str">
        <f>VLOOKUP($C$7,A$10:$J$14,4,FALSE)</f>
        <v>Wind</v>
      </c>
      <c r="B18" s="201">
        <v>3</v>
      </c>
      <c r="C18" s="200" t="str">
        <f t="shared" si="0"/>
        <v>Wind</v>
      </c>
    </row>
    <row r="19" spans="1:20" x14ac:dyDescent="0.2">
      <c r="A19" s="201" t="str">
        <f>VLOOKUP($C$7,A$10:$J$14,5,FALSE)</f>
        <v>Zon-PV</v>
      </c>
      <c r="B19" s="201">
        <v>4</v>
      </c>
      <c r="C19" s="200" t="str">
        <f t="shared" si="0"/>
        <v>Zon-PV</v>
      </c>
    </row>
    <row r="20" spans="1:20" x14ac:dyDescent="0.2">
      <c r="A20" s="201">
        <f>VLOOKUP($C$7,A$10:$J$14,6,FALSE)</f>
        <v>0</v>
      </c>
      <c r="B20" s="201">
        <v>5</v>
      </c>
      <c r="C20" s="200" t="str">
        <f t="shared" si="0"/>
        <v/>
      </c>
    </row>
    <row r="21" spans="1:20" x14ac:dyDescent="0.2">
      <c r="A21" s="201">
        <f>VLOOKUP($C$7,A$10:$J$14,7,FALSE)</f>
        <v>0</v>
      </c>
      <c r="B21" s="201">
        <v>6</v>
      </c>
      <c r="C21" s="200" t="str">
        <f t="shared" si="0"/>
        <v/>
      </c>
    </row>
    <row r="22" spans="1:20" x14ac:dyDescent="0.2">
      <c r="A22" s="201">
        <f>VLOOKUP($C$7,A$10:$J$14,8,FALSE)</f>
        <v>0</v>
      </c>
      <c r="B22" s="201">
        <v>7</v>
      </c>
      <c r="C22" s="200" t="str">
        <f t="shared" si="0"/>
        <v/>
      </c>
    </row>
    <row r="23" spans="1:20" x14ac:dyDescent="0.2">
      <c r="A23" s="201">
        <f>VLOOKUP($C$7,A$10:$J$14,9,FALSE)</f>
        <v>0</v>
      </c>
      <c r="B23" s="201">
        <v>8</v>
      </c>
      <c r="C23" s="200" t="str">
        <f t="shared" si="0"/>
        <v/>
      </c>
    </row>
    <row r="24" spans="1:20" x14ac:dyDescent="0.2">
      <c r="A24" s="201">
        <f>VLOOKUP($C$7,A$10:$J$14,10,FALSE)</f>
        <v>0</v>
      </c>
      <c r="B24" s="201">
        <v>9</v>
      </c>
      <c r="C24" s="200" t="str">
        <f t="shared" si="0"/>
        <v/>
      </c>
    </row>
    <row r="25" spans="1:20" ht="12.75" customHeight="1" x14ac:dyDescent="0.2">
      <c r="A25" s="123"/>
      <c r="C25" s="121">
        <v>4</v>
      </c>
      <c r="D25" s="121" t="str">
        <f>VLOOKUP(C25,B16:C24,2,FALSE)</f>
        <v>Zon-PV</v>
      </c>
    </row>
    <row r="26" spans="1:20" ht="12.75" customHeight="1" x14ac:dyDescent="0.2">
      <c r="A26" s="116" t="s">
        <v>174</v>
      </c>
      <c r="B26" s="116"/>
    </row>
    <row r="27" spans="1:20" ht="12.75" customHeight="1" x14ac:dyDescent="0.2">
      <c r="A27" s="117" t="str">
        <f>B10</f>
        <v>Osmose</v>
      </c>
      <c r="B27" s="117" t="str">
        <f>A149</f>
        <v>Osmose</v>
      </c>
    </row>
    <row r="28" spans="1:20" ht="41.25" customHeight="1" x14ac:dyDescent="0.2">
      <c r="A28" s="117" t="str">
        <f>E10</f>
        <v>Zon-PV</v>
      </c>
      <c r="B28" s="124" t="str">
        <f>A183</f>
        <v>Zon-PV ≥ 15 kWp en &lt; 1 MWp aansluiting &gt; 3*80 A, gebouwgebonden (net = 50%)</v>
      </c>
      <c r="C28" s="124" t="str">
        <f>A184</f>
        <v>Zon-PV ≥ 1 MWp, gebouwgebonden (net = 50%)</v>
      </c>
      <c r="D28" s="124" t="str">
        <f>A185</f>
        <v>Zon-PV ≥ 15 kWp en &lt;  1 MWp aansluiting &gt; 3*80 A, gebouwgebonden met lichte dakaanpassing of lichtgewicht panelen (net = 50%)</v>
      </c>
      <c r="E28" s="124" t="str">
        <f>A186</f>
        <v>Zon-PV ≥ 1 MWp, gebouwgebonden met lichte dakaanpassing of lichtgewicht panelen (net = 50%)</v>
      </c>
      <c r="F28" s="124" t="str">
        <f>A187</f>
        <v>Zon-PV ≥ 15 kWp en &lt; 1 MWp aansluiting &gt; 3*80 A, drijvend op water (net = 50%)</v>
      </c>
      <c r="G28" s="124" t="str">
        <f>A188</f>
        <v>Zon-PV ≥ 1 MWp, drijvend op water (net = 50%)</v>
      </c>
      <c r="H28" s="124" t="str">
        <f>A189</f>
        <v>Zon-PV ≥ 15 kWp en &lt; 1 MWp aansluiting &gt; 3*80 A, op land (net = 50%)</v>
      </c>
      <c r="I28" s="124" t="str">
        <f>A190</f>
        <v>Zon-PV ≥ 1 MWp en &lt;  20 MWp, op land (net = 50%)</v>
      </c>
      <c r="J28" s="124" t="str">
        <f>A191</f>
        <v>Zon-PV ≥ 20 MWp, op land (net = 50%)</v>
      </c>
      <c r="K28" s="124" t="str">
        <f>A192</f>
        <v>Zon-PV ≥ 15 kWp en &lt;  1 MWp aansluiting &gt; 3*80 A, op land natuurinclusief (net = 50%)</v>
      </c>
      <c r="L28" s="124" t="str">
        <f>A193</f>
        <v>Zon-PV ≥ 1 MWp en &lt;  20 MWp, op land natuurinclusief (net = 50%)</v>
      </c>
      <c r="M28" s="124" t="str">
        <f>A194</f>
        <v>Zon-PV ≥ 20 MWp, op land natuurinclusief (net = 50%)</v>
      </c>
      <c r="N28" s="124" t="str">
        <f>A195</f>
        <v>Zon-PV ≥ 1 MWp en &lt; 20 MWp, zonvolgend op land</v>
      </c>
      <c r="O28" s="124" t="str">
        <f>A196</f>
        <v>Zon-PV ≥ 20 MWp, zonvolgend op land</v>
      </c>
      <c r="P28" s="124" t="str">
        <f>A197</f>
        <v xml:space="preserve">Zon-PV ≥ 1 MWp en &lt; 20 MWp, zonvolgend op land natuurinclusief </v>
      </c>
      <c r="Q28" s="122" t="str">
        <f>A198</f>
        <v xml:space="preserve">Zon-PV ≥ 20 MWp, zonvolgend op land natuurinclusief
</v>
      </c>
      <c r="R28" s="122" t="str">
        <f>A199</f>
        <v>Zon-PV ≥ 1 MWp, zonvolgend op water</v>
      </c>
      <c r="T28" s="122"/>
    </row>
    <row r="29" spans="1:20" ht="24.95" customHeight="1" x14ac:dyDescent="0.2">
      <c r="A29" s="117" t="str">
        <f>D10</f>
        <v>Wind</v>
      </c>
      <c r="B29" s="122" t="str">
        <f>A163</f>
        <v>Wind op land ≥ 8,5 m/s</v>
      </c>
      <c r="C29" s="122" t="str">
        <f>A164</f>
        <v>Wind op land ≥ 8,0 en &lt; 8,5 m/s</v>
      </c>
      <c r="D29" s="122" t="str">
        <f>A165</f>
        <v>Wind op land ≥ 7,5 en &lt; 8,0 m/s</v>
      </c>
      <c r="E29" s="122" t="str">
        <f>A166</f>
        <v>Wind op land ≥ 7,0 en &lt; 7,5 m/s</v>
      </c>
      <c r="F29" s="122" t="str">
        <f>A167</f>
        <v>Wind op land ≥ 6,75 en &lt; 7,0 m/s</v>
      </c>
      <c r="G29" s="122" t="str">
        <f>A168</f>
        <v>Wind op land &lt; 6,75 m/s</v>
      </c>
      <c r="H29" s="122" t="str">
        <f>A169</f>
        <v>Wind op land, hoogtebeperkt ≥ 8,5 m/s</v>
      </c>
      <c r="I29" s="122" t="str">
        <f>A170</f>
        <v>Wind op land, hoogtebeperkt ≥ 8,0 en &lt; 8,5 m/s</v>
      </c>
      <c r="J29" s="122" t="str">
        <f>A171</f>
        <v>Wind op land, hoogtebeperkt ≥ 7,5 en &lt; 8,0 m/s</v>
      </c>
      <c r="K29" s="122" t="str">
        <f>A172</f>
        <v>Wind op land, hoogtebeperkt ≥ 7,0 en &lt; 7,5 m/s</v>
      </c>
      <c r="L29" s="122" t="str">
        <f>A173</f>
        <v>Wind op land, hoogtebeperkt ≥ 6,75 en &lt; 7,0 m/s</v>
      </c>
      <c r="M29" s="122" t="str">
        <f>A174</f>
        <v>Wind op land, hoogtebeperkt &lt; 6,75 m/s</v>
      </c>
      <c r="N29" s="122" t="str">
        <f>A175</f>
        <v>Wind op waterkering ≥ 8,5 m/s</v>
      </c>
      <c r="O29" s="122" t="str">
        <f>A176</f>
        <v>Wind op waterkering ≥ 8,0 en &lt; 8,5 m/s</v>
      </c>
      <c r="P29" s="122" t="str">
        <f>A177</f>
        <v>Wind op waterkering ≥ 7,5 en &lt; 8,0 m/s</v>
      </c>
      <c r="Q29" s="122" t="str">
        <f>A178</f>
        <v>Wind op waterkering ≥ 7,0 en &lt; 7,5 m/s</v>
      </c>
      <c r="R29" s="122" t="str">
        <f>A179</f>
        <v>Wind op waterkering ≥ 6,75 en &lt; 7,0 m/s</v>
      </c>
      <c r="S29" s="122" t="str">
        <f>A180</f>
        <v>Wind op waterkering &lt; 6,75 m/s</v>
      </c>
      <c r="T29" s="122"/>
    </row>
    <row r="30" spans="1:20" ht="43.5" customHeight="1" x14ac:dyDescent="0.2">
      <c r="A30" s="117" t="str">
        <f>C10</f>
        <v>Waterkracht</v>
      </c>
      <c r="B30" s="124" t="str">
        <f>A148</f>
        <v>Waterkracht nieuw, verval ≥ 50 cm</v>
      </c>
      <c r="C30" s="124" t="str">
        <f>A147</f>
        <v>Waterkracht nieuw, verval &lt; 50 cm (waaronder vrije stromingsenergie en golfenergie)</v>
      </c>
      <c r="D30" s="124"/>
      <c r="E30" s="119"/>
      <c r="F30" s="122"/>
      <c r="G30" s="122"/>
      <c r="H30" s="122"/>
      <c r="I30" s="122"/>
      <c r="J30" s="122"/>
      <c r="K30" s="122"/>
      <c r="L30" s="122"/>
      <c r="M30" s="122"/>
      <c r="N30" s="122"/>
      <c r="O30" s="122"/>
      <c r="P30" s="122"/>
      <c r="Q30" s="122"/>
      <c r="R30" s="122"/>
      <c r="S30" s="122"/>
      <c r="T30" s="122"/>
    </row>
    <row r="31" spans="1:20" ht="53.25" customHeight="1" x14ac:dyDescent="0.2">
      <c r="A31" s="117" t="str">
        <f>B11</f>
        <v>Biomassavergisting (hernieuwbaar gas)</v>
      </c>
      <c r="B31" s="124" t="str">
        <f>A100</f>
        <v>Allesvergisting, hernieuwbaar gas</v>
      </c>
      <c r="C31" s="124" t="str">
        <f>A107</f>
        <v>Allesvergisting voortzetting, hernieuwbaar gas</v>
      </c>
      <c r="D31" s="124" t="str">
        <f>A108</f>
        <v>Allesvergisting extra faciliteit (ombouw naar gas), hernieuwbaar gas</v>
      </c>
      <c r="E31" s="124" t="str">
        <f>A101</f>
        <v>Monomestvergisting, hernieuwbaar gas ≤ 110 kW</v>
      </c>
      <c r="F31" s="122" t="str">
        <f>A102</f>
        <v>Monomestvergisting, hernieuwbaar gas &gt; 110 kW en ≤ 450 kW</v>
      </c>
      <c r="G31" s="124" t="str">
        <f>A103</f>
        <v>Monomestvergisting, hernieuwbaar gas &gt; 450 kW</v>
      </c>
      <c r="H31" s="124" t="str">
        <f>A109</f>
        <v>Monomestvergisting voortzetting ≤ 450 kW, hernieuwbaar gas</v>
      </c>
      <c r="I31" s="124" t="str">
        <f>A110</f>
        <v>Monomestvergisting extra faciliteit (ombouw naar gas) ≤ 450 kW, hernieuwbaar gas</v>
      </c>
      <c r="J31" s="124" t="str">
        <f>A104</f>
        <v>RWZI verbeterde slibgisting, hernieuwbaar gas</v>
      </c>
      <c r="M31" s="122"/>
      <c r="N31" s="122"/>
      <c r="O31" s="122"/>
      <c r="P31" s="122"/>
      <c r="Q31" s="122"/>
      <c r="R31" s="122"/>
      <c r="S31" s="122"/>
      <c r="T31" s="122"/>
    </row>
    <row r="32" spans="1:20" ht="24.95" customHeight="1" x14ac:dyDescent="0.2">
      <c r="A32" s="117" t="str">
        <f>C11</f>
        <v>Biomassavergassing (hernieuwbaar gas)</v>
      </c>
      <c r="B32" s="122" t="str">
        <f>A105</f>
        <v>Biomassavergassing (inclusief B-hout)</v>
      </c>
      <c r="C32" s="122" t="str">
        <f>A106</f>
        <v>Biomassavergassing (exclusief B-hout)</v>
      </c>
      <c r="D32" s="122"/>
      <c r="E32" s="122"/>
      <c r="F32" s="122"/>
      <c r="G32" s="122"/>
      <c r="H32" s="122"/>
      <c r="I32" s="122"/>
      <c r="K32" s="122"/>
      <c r="L32" s="122"/>
      <c r="M32" s="122"/>
      <c r="N32" s="122"/>
      <c r="O32" s="122"/>
      <c r="P32" s="122"/>
      <c r="Q32" s="122"/>
      <c r="R32" s="122"/>
      <c r="S32" s="122"/>
      <c r="T32" s="122"/>
    </row>
    <row r="33" spans="1:27" ht="24.95" customHeight="1" x14ac:dyDescent="0.2">
      <c r="A33" s="117" t="str">
        <f>F12</f>
        <v>Zonthermie (geen daglichtkas)</v>
      </c>
      <c r="B33" s="122" t="str">
        <f>A202</f>
        <v>Zonthermie ≥ 140 kW en &lt; 1 MW</v>
      </c>
      <c r="C33" s="122" t="str">
        <f>A203</f>
        <v>Zonthermie ≥ 1 MW</v>
      </c>
      <c r="D33" s="122"/>
      <c r="E33" s="122"/>
      <c r="F33" s="122"/>
      <c r="G33" s="122"/>
      <c r="H33" s="122"/>
      <c r="I33" s="122"/>
      <c r="J33" s="122"/>
      <c r="K33" s="122"/>
      <c r="L33" s="122"/>
      <c r="M33" s="122"/>
      <c r="N33" s="122"/>
      <c r="O33" s="122"/>
      <c r="P33" s="122"/>
      <c r="Q33" s="122"/>
      <c r="R33" s="122"/>
      <c r="S33" s="122"/>
      <c r="T33" s="122"/>
    </row>
    <row r="34" spans="1:27" ht="39.75" customHeight="1" x14ac:dyDescent="0.2">
      <c r="A34" s="117" t="str">
        <f>C12</f>
        <v>Biomassavergisting</v>
      </c>
      <c r="B34" s="122" t="str">
        <f>A90</f>
        <v>Allesvergisting, warmte</v>
      </c>
      <c r="C34" s="122" t="str">
        <f>A81</f>
        <v>Allesvergisting, gecombineerde opwekking</v>
      </c>
      <c r="D34" s="122" t="str">
        <f>A96</f>
        <v>Allesvergisting voortzetting, warmte</v>
      </c>
      <c r="E34" s="122" t="str">
        <f>A86</f>
        <v>Allesvergisting voortzetting, gecombineerde opwekking</v>
      </c>
      <c r="F34" s="122" t="str">
        <f>A91</f>
        <v>Monomestvergisting, warmte ≤ 110 kW</v>
      </c>
      <c r="G34" s="122" t="str">
        <f>A92</f>
        <v>Monomestvergisting, warmte &gt; 110 kW en ≤ 450 kW</v>
      </c>
      <c r="H34" s="122" t="str">
        <f>A93</f>
        <v>Monomestvergisting, warmte &gt; 450 kW</v>
      </c>
      <c r="I34" s="122" t="str">
        <f>A82</f>
        <v>Monomestvergisting, gecombineerde opwekking ≤ 110 kW</v>
      </c>
      <c r="J34" s="122" t="str">
        <f>A83</f>
        <v>Monomestvergisting, gecombineerde opwekking &gt; 110 kW en ≤ 450 kW</v>
      </c>
      <c r="K34" s="122" t="str">
        <f>A84</f>
        <v>Monomestvergisting, gecombineerde opwekking &gt; 450 kW</v>
      </c>
      <c r="L34" s="122" t="str">
        <f>A97</f>
        <v>Monomestvergisting voortzetting, warmte ≤ 450 kW</v>
      </c>
      <c r="M34" s="122" t="str">
        <f>A87</f>
        <v xml:space="preserve">Monomestvergisting voortzetting, gecombineerde opwekking ≤ 450 kW </v>
      </c>
      <c r="N34" s="122" t="str">
        <f>A94</f>
        <v>RWZI verbeterde slibgisting, warmte</v>
      </c>
      <c r="O34" s="122" t="str">
        <f>A85</f>
        <v>RWZI verbeterde slibgisting, gecombineerde opwekking</v>
      </c>
      <c r="AA34" s="122"/>
    </row>
    <row r="35" spans="1:27" ht="39.75" customHeight="1" x14ac:dyDescent="0.2">
      <c r="A35" s="117" t="str">
        <f>B12</f>
        <v>Biomassaverbranding</v>
      </c>
      <c r="B35" s="122" t="str">
        <f>A115</f>
        <v xml:space="preserve">Kleine ketel op vaste of vloeibare biomassa ≥ 0,5 MWth en &lt; 5 MWth </v>
      </c>
      <c r="C35" s="122" t="str">
        <f>A116</f>
        <v>Grote ketel op vaste of vloeibare biomassa ≥ 5 MWth, 4500 vollasturen</v>
      </c>
      <c r="D35" s="122" t="str">
        <f>A117</f>
        <v>Grote ketel op vaste of vloeibare biomassa ≥ 5 MWth, 5000 vollasturen</v>
      </c>
      <c r="E35" s="122" t="str">
        <f>A118</f>
        <v>Grote ketel op vaste of vloeibare biomassa ≥ 5 MWth, 5500 vollasturen</v>
      </c>
      <c r="F35" s="122" t="str">
        <f>A119</f>
        <v>Grote ketel op vaste of vloeibare biomassa ≥ 5 MWth, 6000 vollasturen</v>
      </c>
      <c r="G35" s="122" t="str">
        <f>A120</f>
        <v>Grote ketel op vaste of vloeibare biomassa ≥ 5 MWth, 6500 vollasturen</v>
      </c>
      <c r="H35" s="122" t="str">
        <f>A121</f>
        <v>Grote ketel op vaste of vloeibare biomassa ≥ 5 MWth, 7000 vollasturen</v>
      </c>
      <c r="I35" s="122" t="str">
        <f>A122</f>
        <v>Grote ketel op vaste of vloeibare biomassa ≥ 5 MWth, 7500 vollasturen</v>
      </c>
      <c r="J35" s="122" t="str">
        <f>A123</f>
        <v>Grote ketel op vaste of vloeibare biomassa ≥ 5 MWth, 8000 vollasturen</v>
      </c>
      <c r="K35" s="122" t="str">
        <f>A124</f>
        <v>Grote ketel op vaste of vloeibare biomassa ≥ 5 MWth, 8500 vollasturen</v>
      </c>
      <c r="L35" s="122" t="str">
        <f>A129</f>
        <v xml:space="preserve">Grote ketel op vaste of vloeibare biomassa ≥ 5 MWth, voortzetting </v>
      </c>
      <c r="M35" s="122" t="str">
        <f>A126</f>
        <v>Stoomketel op houtpellets ≥ 5 MWth en &lt; 50 MWth</v>
      </c>
      <c r="N35" s="122" t="str">
        <f>A127</f>
        <v>Stoomketel op houtpellets ≥ 50 MWth</v>
      </c>
      <c r="O35" s="122" t="str">
        <f>A128</f>
        <v>Directe inzet van houtpellets voor industriële toepassingen ≥ 5 MWth</v>
      </c>
      <c r="P35" s="122" t="str">
        <f>A125</f>
        <v>Ketel op vaste of vloeibare biomassa inclusief B-hout ≥ 5 MWth</v>
      </c>
      <c r="Q35" s="122" t="str">
        <f>A113</f>
        <v>Ketel op vloeibare biomassa voor stadsverwarming ≥ 0,5 MWth</v>
      </c>
      <c r="R35" s="122" t="str">
        <f>A114</f>
        <v>Ketel op vloeibare biomassa voor overige toepassingen ≥ 0,5 MWth</v>
      </c>
      <c r="U35" s="122"/>
      <c r="V35" s="122"/>
      <c r="W35" s="122"/>
      <c r="X35" s="122"/>
      <c r="Y35" s="122"/>
      <c r="Z35" s="122"/>
      <c r="AA35" s="122"/>
    </row>
    <row r="36" spans="1:27" ht="39.75" customHeight="1" x14ac:dyDescent="0.2">
      <c r="A36" s="117" t="str">
        <f>D12</f>
        <v>Biomassacompostering</v>
      </c>
      <c r="B36" s="122" t="str">
        <f>A95</f>
        <v>Warmte uit compostering ≥ 0,5 MWth</v>
      </c>
      <c r="D36" s="122"/>
      <c r="E36" s="122"/>
      <c r="F36" s="122"/>
      <c r="G36" s="122"/>
      <c r="H36" s="122"/>
      <c r="I36" s="122"/>
      <c r="J36" s="122"/>
      <c r="K36" s="122"/>
      <c r="L36" s="122"/>
      <c r="M36" s="122"/>
      <c r="N36" s="122"/>
      <c r="O36" s="122"/>
      <c r="P36" s="122"/>
      <c r="Q36" s="122"/>
      <c r="U36" s="122"/>
      <c r="V36" s="122"/>
      <c r="W36" s="122"/>
      <c r="X36" s="122"/>
      <c r="Y36" s="122"/>
      <c r="Z36" s="122"/>
      <c r="AA36" s="122"/>
    </row>
    <row r="37" spans="1:27" ht="24.95" customHeight="1" x14ac:dyDescent="0.2">
      <c r="A37" s="117" t="str">
        <f>E12</f>
        <v xml:space="preserve">Geothermie (ultra)diep </v>
      </c>
      <c r="B37" s="122" t="str">
        <f>A135</f>
        <v>Diepe geothermie &lt; 12 MWth (6000 vollasturen)</v>
      </c>
      <c r="C37" s="122" t="str">
        <f>A136</f>
        <v>Diepe geothermie ≥ 12 MWth &lt; 20 MWth (6000 vollasturen)</v>
      </c>
      <c r="D37" s="122" t="str">
        <f>A137</f>
        <v>Diepe geothermie ≥ 20 MWth (6000 vollasturen)</v>
      </c>
      <c r="E37" s="122" t="str">
        <f>A138</f>
        <v>Diepe geothermie &lt; 12 MWth, ombouw van bestaande olie- en/of gasputten (6000 vollasturen)</v>
      </c>
      <c r="F37" s="122" t="str">
        <f>A139</f>
        <v>Diepe geothermie ≥ 12 MWth en &lt; 20 MWth, ombouw van bestaande olie- en/of gasputten (6000 vollasturen)</v>
      </c>
      <c r="G37" s="122" t="str">
        <f>A140</f>
        <v>Diepe geothermie ≥ 20 MWth, basislast, ombouw van bestaande olie- en/of gasputten (6000 vollasturen)</v>
      </c>
      <c r="H37" s="122" t="str">
        <f>A141</f>
        <v>Diepe geothermie, verwarming gebouwde omgeving (3500 vollasturen)</v>
      </c>
      <c r="I37" s="122" t="str">
        <f>A142</f>
        <v>Diepe geothermie, verwarming gebouwde omgeving (5000 vollasturen)</v>
      </c>
      <c r="J37" s="122" t="str">
        <f>A143</f>
        <v>Diepe geothermie, uitbreiding productie-installatie met tenminste één aanvullende put (6000 vollasturen)</v>
      </c>
      <c r="K37" s="122" t="str">
        <f>A144</f>
        <v>Ultradiepe geothermie (7000 vollasturen)</v>
      </c>
      <c r="L37" s="122"/>
      <c r="M37" s="122"/>
      <c r="N37" s="122"/>
      <c r="O37" s="122"/>
      <c r="P37" s="122"/>
      <c r="Q37" s="122"/>
      <c r="R37" s="122"/>
      <c r="S37" s="122"/>
      <c r="T37" s="122"/>
    </row>
    <row r="38" spans="1:27" ht="24.95" customHeight="1" x14ac:dyDescent="0.2">
      <c r="A38" s="117" t="str">
        <f>E13</f>
        <v>Daglichtkas (zonthermie met aquifer en warmtepomp)</v>
      </c>
      <c r="B38" s="122" t="str">
        <f>A205</f>
        <v>Daglichtkas</v>
      </c>
      <c r="C38" s="122"/>
      <c r="D38" s="122"/>
      <c r="E38" s="122"/>
      <c r="F38" s="122"/>
      <c r="G38" s="122"/>
      <c r="H38" s="122"/>
      <c r="I38" s="122"/>
      <c r="J38" s="122"/>
      <c r="K38" s="122"/>
      <c r="L38" s="122"/>
      <c r="M38" s="122"/>
      <c r="N38" s="122"/>
      <c r="O38" s="122"/>
      <c r="P38" s="122"/>
      <c r="Q38" s="122"/>
      <c r="R38" s="122"/>
      <c r="S38" s="122"/>
      <c r="T38" s="122"/>
    </row>
    <row r="39" spans="1:27" ht="50.25" customHeight="1" x14ac:dyDescent="0.2">
      <c r="A39" s="117" t="str">
        <f>F13</f>
        <v>Geothermie (on)diep met warmtepomp</v>
      </c>
      <c r="B39" s="122" t="str">
        <f>A132</f>
        <v>Ondiepe geothermie (6000 vollasturen)</v>
      </c>
      <c r="C39" s="122" t="str">
        <f>A133</f>
        <v>Ondiepe geothermie, verwarming gebouwde omgeving (3500 vollasturen)</v>
      </c>
      <c r="D39" s="122" t="str">
        <f>A134</f>
        <v>Diepe geothermie met warmtepomp, verwarming gebouwde omgeving (6000 vollasturen)</v>
      </c>
      <c r="E39" s="122"/>
      <c r="F39" s="122"/>
      <c r="G39" s="122"/>
      <c r="H39" s="122"/>
      <c r="I39" s="122"/>
      <c r="J39" s="122"/>
      <c r="K39" s="122"/>
      <c r="L39" s="122"/>
      <c r="M39" s="122"/>
      <c r="N39" s="122"/>
      <c r="O39" s="122"/>
      <c r="P39" s="122"/>
      <c r="Q39" s="122"/>
      <c r="R39" s="122"/>
      <c r="S39" s="122"/>
      <c r="T39" s="122"/>
    </row>
    <row r="40" spans="1:27" ht="63" customHeight="1" x14ac:dyDescent="0.2">
      <c r="A40" s="117" t="str">
        <f>B13</f>
        <v>Aquathermie (thermische energie uit water met warmtepomp)</v>
      </c>
      <c r="B40" s="122" t="str">
        <f>A152</f>
        <v>Aquathermie met seizoensopslag, basislast, verwarming gebouwde omgeving (6000 vollasturen)</v>
      </c>
      <c r="C40" s="122" t="str">
        <f>A153</f>
        <v>Aquathermie, basislast, verwarming gebouwde omgeving (6000 vollasturen)</v>
      </c>
      <c r="D40" s="122" t="str">
        <f>A154</f>
        <v>Aquathermie, basislast, verwarming gebouwde omgeving, nieuw warmteoverdrachtstation (6000 vollasturen)</v>
      </c>
      <c r="E40" s="122" t="str">
        <f>A155</f>
        <v>Aquathermie, geen basislast, verwarming gebouwde omgeving (3500 vollasturen)</v>
      </c>
      <c r="F40" s="122" t="str">
        <f>A156</f>
        <v>Aquathermie met seizoensopslag, directe toepassing (3500 vollasturen)</v>
      </c>
      <c r="G40" s="122"/>
      <c r="H40" s="122"/>
      <c r="I40" s="122"/>
      <c r="J40" s="122"/>
      <c r="K40" s="122"/>
      <c r="L40" s="122"/>
      <c r="M40" s="122"/>
      <c r="N40" s="122"/>
      <c r="O40" s="122"/>
      <c r="P40" s="122"/>
      <c r="Q40" s="122"/>
      <c r="R40" s="122"/>
      <c r="S40" s="122"/>
      <c r="T40" s="122"/>
    </row>
    <row r="41" spans="1:27" ht="24.95" customHeight="1" x14ac:dyDescent="0.2">
      <c r="A41" s="117" t="str">
        <f>C13</f>
        <v>Zon-PVT systeem met warmtepomp</v>
      </c>
      <c r="B41" s="122" t="str">
        <f>A204</f>
        <v>Zon-PVT systeem met warmtepomp</v>
      </c>
      <c r="C41" s="122"/>
      <c r="D41" s="122"/>
      <c r="E41" s="122"/>
      <c r="G41" s="122"/>
      <c r="H41" s="122"/>
      <c r="I41" s="122"/>
      <c r="J41" s="122"/>
      <c r="K41" s="122"/>
      <c r="L41" s="122"/>
      <c r="M41" s="122"/>
      <c r="N41" s="122"/>
      <c r="O41" s="122"/>
      <c r="P41" s="122"/>
      <c r="Q41" s="122"/>
      <c r="R41" s="122"/>
      <c r="S41" s="122"/>
      <c r="T41" s="122"/>
    </row>
    <row r="42" spans="1:27" ht="63.75" customHeight="1" x14ac:dyDescent="0.2">
      <c r="A42" s="117" t="str">
        <f>D13</f>
        <v>Lucht-water warmtepomp</v>
      </c>
      <c r="B42" s="122" t="str">
        <f>A159</f>
        <v>Lucht-water-warmtepomp voor verwarming bestaande gebouwde omgeving, geen basislast, middentemperatuur (≥ 70 ⁰C)</v>
      </c>
      <c r="C42" s="122" t="str">
        <f>A160</f>
        <v>Lucht-water-warmtepomp voor verwarming bestaande gebouwen of bestaande tuinbouwkassen, geen basislast, lagetemperatuur (≥ 40 ⁰C)</v>
      </c>
      <c r="D42" s="122"/>
      <c r="E42" s="122"/>
      <c r="G42" s="122"/>
      <c r="H42" s="122"/>
      <c r="I42" s="122"/>
      <c r="J42" s="122"/>
      <c r="K42" s="122"/>
      <c r="L42" s="122"/>
      <c r="M42" s="122"/>
      <c r="N42" s="122"/>
      <c r="O42" s="122"/>
      <c r="P42" s="122"/>
      <c r="Q42" s="122"/>
      <c r="R42" s="122"/>
      <c r="S42" s="122"/>
      <c r="T42" s="122"/>
    </row>
    <row r="43" spans="1:27" ht="39" customHeight="1" x14ac:dyDescent="0.2">
      <c r="A43" s="117" t="str">
        <f>H13</f>
        <v>Industriële warmtepompen</v>
      </c>
      <c r="B43" s="122" t="str">
        <f>A274</f>
        <v>Industriële gesloten warmtepomp (8000 vollasturen)</v>
      </c>
      <c r="C43" s="122" t="str">
        <f>A275</f>
        <v>Industriële gesloten warmtepomp (3000 vollasturen)</v>
      </c>
      <c r="D43" s="122" t="str">
        <f>A276</f>
        <v>Industriële open warmtepomp (8000 vollasturen)</v>
      </c>
      <c r="E43" s="122" t="str">
        <f>A277</f>
        <v>Industriële open warmtepomp (3000 vollasturen)</v>
      </c>
      <c r="F43" s="122" t="str">
        <f>A278</f>
        <v>Procesgeïntegreerde warmtepomp in een verdampingsproces (8000 uur)</v>
      </c>
      <c r="G43" s="122" t="str">
        <f>A279</f>
        <v>Procesgeïntegreerde warmtepomp in een verdampingsproces (3000 uur)</v>
      </c>
      <c r="H43" s="122"/>
      <c r="I43" s="122"/>
      <c r="J43" s="122"/>
      <c r="K43" s="122"/>
      <c r="L43" s="122"/>
      <c r="M43" s="122"/>
      <c r="N43" s="122"/>
      <c r="O43" s="122"/>
      <c r="P43" s="122"/>
      <c r="Q43" s="122"/>
      <c r="R43" s="122"/>
      <c r="S43" s="122"/>
      <c r="T43" s="122"/>
    </row>
    <row r="44" spans="1:27" ht="40.5" customHeight="1" x14ac:dyDescent="0.2">
      <c r="A44" s="117" t="str">
        <f>I13</f>
        <v>Restwarmtebenutting</v>
      </c>
      <c r="B44" s="122" t="str">
        <f>A282</f>
        <v>Restwarmtebenutting (zonder warmtepomp), transportleiding ≥ 0,20 en &lt; 0,30 km/MWth</v>
      </c>
      <c r="C44" s="122" t="str">
        <f>A283</f>
        <v>Restwarmtebenutting (zonder warmtepomp), transportleiding ≥ 0,30 en &lt; 0,40 km/MWth</v>
      </c>
      <c r="D44" s="122" t="str">
        <f>A284</f>
        <v>Benutting restwarmte (zonder warmtepomp), transportleiding ≥ 0,40 km/MWth</v>
      </c>
      <c r="E44" s="122" t="str">
        <f>A285</f>
        <v>Restwarmtebenutting met warmtepomp, transportleiding &lt; 0,10 km/MWth</v>
      </c>
      <c r="F44" s="122" t="str">
        <f>A286</f>
        <v>Restwarmtebenutting met warmtepomp, transportleiding ≥ 0,10 en &lt; 0,20 km/MWth</v>
      </c>
      <c r="G44" s="122" t="str">
        <f>A287</f>
        <v>Restwarmtebenutting met warmtepomp, transportleiding ≥ 0,20 en &lt; 0,30 km/MWth</v>
      </c>
      <c r="H44" s="122" t="str">
        <f>A288</f>
        <v>Restwarmtebenutting met warmtepomp, transportleiding ≥ 0,30 en &lt; 0,40 km/MWth</v>
      </c>
      <c r="I44" s="122" t="str">
        <f>A289</f>
        <v>Restwarmtebenutting met warmtepomp, transportleiding ≥ 0,40 km/MWth</v>
      </c>
      <c r="J44" s="122"/>
      <c r="K44" s="122"/>
      <c r="L44" s="122"/>
      <c r="M44" s="122"/>
      <c r="N44" s="122"/>
      <c r="O44" s="122"/>
      <c r="P44" s="122"/>
      <c r="Q44" s="122"/>
      <c r="R44" s="122"/>
      <c r="S44" s="122"/>
      <c r="T44" s="122"/>
    </row>
    <row r="45" spans="1:27" ht="51" customHeight="1" x14ac:dyDescent="0.2">
      <c r="A45" s="119" t="str">
        <f>G13</f>
        <v>Grootschalige elektrische boiler</v>
      </c>
      <c r="B45" s="122" t="str">
        <f>A292</f>
        <v>Grootschalige elektrische boiler voor stadsverwarming</v>
      </c>
      <c r="C45" s="122" t="str">
        <f>A293</f>
        <v>Grootschalige elektrische boiler, overige toepassingen niet zijnde tuinbouw</v>
      </c>
      <c r="D45" s="122" t="str">
        <f>A294</f>
        <v>Grootschalige elektrische boiler, industriele toepassing, niet zijnde tuinbouw, met hogetemperatuuropslag</v>
      </c>
      <c r="E45" s="122"/>
      <c r="F45" s="122"/>
      <c r="G45" s="122"/>
      <c r="H45" s="122"/>
      <c r="I45" s="122"/>
      <c r="J45" s="122"/>
      <c r="K45" s="122"/>
      <c r="L45" s="122"/>
      <c r="M45" s="122"/>
      <c r="N45" s="122"/>
      <c r="O45" s="122"/>
      <c r="P45" s="122"/>
      <c r="Q45" s="122"/>
      <c r="R45" s="122"/>
      <c r="S45" s="122"/>
      <c r="T45" s="122"/>
    </row>
    <row r="46" spans="1:27" ht="24.95" customHeight="1" x14ac:dyDescent="0.2">
      <c r="A46" s="117" t="str">
        <f>B14</f>
        <v>Waterstof door elektrolyse</v>
      </c>
      <c r="B46" s="122" t="str">
        <f>A295</f>
        <v xml:space="preserve">Waterstof uit elektrolyse, netgekoppeld met hernieuwbare stroomafnameovereenkomsten </v>
      </c>
      <c r="C46" s="122" t="str">
        <f>A296</f>
        <v>Waterstof uit elektrolyse, directe lijn met windpark of zonnepark</v>
      </c>
      <c r="F46" s="122"/>
      <c r="G46" s="122"/>
      <c r="H46" s="122"/>
      <c r="I46" s="122"/>
      <c r="J46" s="122"/>
      <c r="K46" s="122"/>
      <c r="L46" s="122"/>
      <c r="M46" s="122"/>
      <c r="N46" s="122"/>
      <c r="O46" s="122"/>
      <c r="P46" s="122"/>
      <c r="Q46" s="122"/>
      <c r="R46" s="122"/>
      <c r="S46" s="122"/>
      <c r="T46" s="122"/>
    </row>
    <row r="47" spans="1:27" ht="49.5" customHeight="1" x14ac:dyDescent="0.2">
      <c r="A47" s="117" t="str">
        <f>C14</f>
        <v>Geavanceerde hernieuwbare transportbrandstoffen (vloeibaar gas, benzine- en dieselvervangers)</v>
      </c>
      <c r="B47" s="122" t="str">
        <f>A302</f>
        <v>Bio-LNG uit allesvergisting (vloeibaar gas)</v>
      </c>
      <c r="C47" s="122" t="str">
        <f>A301</f>
        <v>Bio-LNG uit monomestvergisting (vloeibaar gas)</v>
      </c>
      <c r="D47" s="122" t="str">
        <f>A299</f>
        <v>Bio-ethanol uit vaste lignocellulosehoudende biomassa (benzinevervanger)</v>
      </c>
      <c r="E47" s="122" t="str">
        <f>A300</f>
        <v>Bio-methanol uit vaste lignocellulosehoudende biomassa (benzinevervanger)</v>
      </c>
      <c r="F47" s="122" t="str">
        <f>A303</f>
        <v xml:space="preserve">Diesel-en benzinevervangers uit vaste lignocellulosehoudende biomassa </v>
      </c>
      <c r="G47" s="122"/>
      <c r="H47" s="122"/>
      <c r="I47" s="122"/>
      <c r="J47" s="122"/>
      <c r="K47" s="122"/>
      <c r="L47" s="122"/>
      <c r="M47" s="122"/>
      <c r="N47" s="122"/>
      <c r="O47" s="122"/>
      <c r="P47" s="122"/>
      <c r="Q47" s="122"/>
      <c r="R47" s="122"/>
      <c r="S47" s="122"/>
      <c r="T47" s="122"/>
    </row>
    <row r="48" spans="1:27" ht="24.95" customHeight="1" x14ac:dyDescent="0.2">
      <c r="A48" s="117" t="str">
        <f>D14</f>
        <v>CO₂-afvang en opslag (CCS) met gasvormig transport, ETS-bedrijf</v>
      </c>
      <c r="B48" s="122" t="str">
        <f>A208</f>
        <v xml:space="preserve">CCS - Gedeeltelijke CO₂-opslag bij bestaande of nieuwe installaties, gasvormig transport (PBL variant 1A, 4000 vollasturen) </v>
      </c>
      <c r="C48" s="125" t="str">
        <f>A209</f>
        <v>CCS - Volledige CO₂-opslag bij bestaande installaties, gasvormig transport (PBL variant 2A)</v>
      </c>
      <c r="D48" s="122" t="str">
        <f>A210</f>
        <v>CCS - Nieuwe pre-combustion CO₂-zuivering, bestaande installatie, gasvormig transport (PBL variant 3A)</v>
      </c>
      <c r="E48" s="122" t="str">
        <f>A211</f>
        <v>CCS - Nieuwe pre-combustion CO₂-afvang bij waterstofproductie uit restgassen voor ondervuring, gasvormig transport (PBL variant 4A)</v>
      </c>
      <c r="F48" s="122" t="str">
        <f>A212</f>
        <v>CCS - Nieuwe post-combustion CO₂-afvang, bestaande installatie, gasvormig transport (PBL variant 5A)</v>
      </c>
      <c r="G48" s="122" t="str">
        <f>A213</f>
        <v>CCS - Nieuwe post-combustion CO₂-afvang, bestaande afvalverbrandingsinstallatie, gasvormig transport (PBL variant 6A)</v>
      </c>
      <c r="H48" s="122" t="str">
        <f>A214</f>
        <v>CCS - Nieuwe pre-combustion CO₂-zuivering, nieuwe installatie, gasvormig transport (PBL variant 7A)</v>
      </c>
      <c r="I48" s="122" t="str">
        <f>A215</f>
        <v>CCS - Nieuwe post-combustion CO₂-afvang, nieuwe installatie, gasvormig transport (PBL variant 8A)</v>
      </c>
      <c r="K48" s="122"/>
      <c r="L48" s="122"/>
      <c r="M48" s="122"/>
      <c r="N48" s="122"/>
      <c r="O48" s="122"/>
      <c r="P48" s="122"/>
      <c r="Q48" s="122"/>
      <c r="R48" s="122"/>
      <c r="S48" s="122"/>
      <c r="T48" s="122"/>
    </row>
    <row r="49" spans="1:20" ht="24.95" customHeight="1" x14ac:dyDescent="0.2">
      <c r="A49" s="117" t="str">
        <f>E14</f>
        <v>CO₂-afvang en opslag (CCS) met gasvormig transport, niet-ETS-bedrijf</v>
      </c>
      <c r="B49" s="122" t="str">
        <f>A218</f>
        <v>CCS - Gedeeltelijke CO₂-opslag bij bestaande of nieuwe installaties niet-ETS-bedrijf, gasvormig transport (PBL variant 1A, 4000 vollasturen)</v>
      </c>
      <c r="C49" s="125" t="str">
        <f>A219</f>
        <v>CCS - Volledige CO₂-opslag bij bestaande installaties niet-ETS-bedrijf, gasvormig transport (PBL variant 2A)</v>
      </c>
      <c r="D49" s="122" t="str">
        <f>A220</f>
        <v>CCS - Nieuwe pre-combustion CO₂-zuivering, bestaande installatie niet-ETS-bedrijf, gasvormig transport (PBL variant 3A)</v>
      </c>
      <c r="E49" s="122" t="str">
        <f>A221</f>
        <v>CCS - Nieuwe pre-combustion CO₂-afvang bij waterstofproductie uit restgassen voor ondervuring niet-ETS-bedrijf, gasvormig transport (PBL variant 4A)</v>
      </c>
      <c r="F49" s="122" t="str">
        <f>A222</f>
        <v>CCS - Nieuwe post-combustion CO₂-afvang niet-ETS-bedrijf, bestaande installatie, gasvormig transport (PBL variant 5A)</v>
      </c>
      <c r="G49" s="125" t="str">
        <f>A225</f>
        <v>CCS - Nieuwe post-combustion CO2-afvang, bestaande biomassaverbrandingsinstallatie (&lt;100 MWe) niet-ETS-bedrijf, gasvormig transport (PBL variant 6A)</v>
      </c>
      <c r="H49" s="122" t="str">
        <f>A223</f>
        <v>CCS - Nieuwe pre-combustion CO₂-zuivering, nieuwe installatie niet-ETS-bedrijf, gasvormig transport (PBL variant 7A)</v>
      </c>
      <c r="I49" s="122" t="str">
        <f>A224</f>
        <v>CCS - Nieuwe post-combustion CO₂-afvang, nieuwe installatie niet-ETS-bedrijf, gasvormig transport (PBL variant 8A)</v>
      </c>
      <c r="K49" s="122"/>
      <c r="L49" s="122"/>
      <c r="M49" s="122"/>
      <c r="N49" s="122"/>
      <c r="O49" s="122"/>
      <c r="P49" s="122"/>
      <c r="Q49" s="122"/>
      <c r="R49" s="122"/>
      <c r="S49" s="122"/>
      <c r="T49" s="122"/>
    </row>
    <row r="50" spans="1:20" ht="24.95" customHeight="1" x14ac:dyDescent="0.2">
      <c r="A50" s="117" t="str">
        <f>F14</f>
        <v>CO₂-afvang en opslag (CCS) met vloeibaar transport, ETS-bedrijf</v>
      </c>
      <c r="B50" s="122" t="str">
        <f>A228</f>
        <v>CCS - Gedeeltelijke CO₂-opslag bij bestaande of nieuwe installaties, vloeibaar transport, nieuwe vervloeiingsinstallatie (PBL variant 1B, 4000 vollasturen)</v>
      </c>
      <c r="C50" s="125" t="str">
        <f>A229</f>
        <v>CCS - Gedeeltelijke CO₂-opslag bij bestaande of nieuwe installaties, vloeibaar transport (PBL variant 1C, 4000 vollasturen)</v>
      </c>
      <c r="D50" s="122" t="str">
        <f>A230</f>
        <v>CCS - Volledige CO₂-opslag bij bestaande installaties, vloeibaar transport, nieuwe vervloeiingsinstallatie (PBL variant 2B)</v>
      </c>
      <c r="E50" s="122" t="str">
        <f>A231</f>
        <v>CCS - Nieuwe pre-combustion CO₂-zuivering, bestaande installatie, vloeibaar transport, nieuwe vervloeiingsinstallatie (PBL variant 3B)</v>
      </c>
      <c r="F50" s="122" t="str">
        <f>A232</f>
        <v>CCS - Nieuwe pre-combustion CO₂-afvang bij waterstofproductie uit restgassen voor ondervuring, vloeibaar transport, nieuwe vervloeiingsinstallatie (PBL variant 4B)</v>
      </c>
      <c r="G50" s="122" t="str">
        <f>A233</f>
        <v>CCS - Nieuwe post-combustion CO₂-afvang, bestaande installatie, vloeibaar transport, nieuwe vervloeiingsinstallatie (PBL variant 5B)</v>
      </c>
      <c r="H50" s="122" t="str">
        <f>A234</f>
        <v>CCS - Nieuwe post-combustion CO₂-afvang, bestaande afvalverbrandingsinstallatie, vloeibaar transport, nieuwe vervloeiingsinstallatie (PBL variant 6B)</v>
      </c>
      <c r="I50" s="122" t="str">
        <f>A235</f>
        <v>CCS - Nieuwe pre-combustion CO₂-zuivering, nieuwe installatie, vloeibaar transport, nieuwe vervloeiingsinstallatie (PBL variant 7B)</v>
      </c>
      <c r="J50" s="122" t="str">
        <f>A236</f>
        <v>CCS - Nieuwe post-combustion CO₂-afvang, nieuwe installatie, vloeibaar transport, nieuwe vervloeiingsinstallatie (PBL variant 8B)</v>
      </c>
      <c r="K50" s="122"/>
      <c r="L50" s="122"/>
      <c r="M50" s="122"/>
      <c r="N50" s="122"/>
      <c r="O50" s="122"/>
      <c r="P50" s="122"/>
      <c r="Q50" s="122"/>
      <c r="R50" s="122"/>
      <c r="S50" s="122"/>
      <c r="T50" s="122"/>
    </row>
    <row r="51" spans="1:20" ht="24.95" customHeight="1" x14ac:dyDescent="0.2">
      <c r="A51" s="117" t="str">
        <f>G14</f>
        <v>CO₂-afvang en opslag (CCS) met vloeibaar transport, niet-ETS-bedrijf</v>
      </c>
      <c r="B51" s="122" t="str">
        <f>A239</f>
        <v>CCS - Gedeeltelijke CO₂-opslag bij bestaande of nieuwe installaties niet-ETS-bedrijf, vloeibaar transport, nieuwe vervloeiingsinstallatie (PBL variant 1B, 4000 vollasturen)</v>
      </c>
      <c r="C51" s="125" t="str">
        <f>A240</f>
        <v>CCS - Gedeeltelijke CO₂-opslag bij bestaande of nieuwe installaties niet-ETS-bedrijf, vloeibaar transport (PBL variant 1C, 4000 vollasturen)</v>
      </c>
      <c r="D51" s="122" t="str">
        <f>A241</f>
        <v>CCS - Volledige CO₂-opslag bij bestaande installaties niet-ETS-bedrijf, vloeibaar transport, nieuwe vervloeiingsinstallatie (PBL variant 2B)</v>
      </c>
      <c r="E51" s="122" t="str">
        <f>A242</f>
        <v>CCS - Nieuwe pre-combustion CO₂-zuivering, bestaande installatie niet-ETS-bedrijf, vloeibaar transport, nieuwe vervloeiingsinstallatie (PBL variant 3B)</v>
      </c>
      <c r="F51" s="122" t="str">
        <f>A243</f>
        <v>CCS - Nieuwe pre-combustion CO₂-afvang bij waterstofproductie uit restgassen voor ondervuring niet-ETS-bedrijf, vloeibaar transport, nieuwe vervloeiingsinstallatie (PBL variant 4B)</v>
      </c>
      <c r="G51" s="122" t="str">
        <f>A244</f>
        <v>CCS - Nieuwe post-combustion CO₂-afvang, bestaande installatie niet-ETS-bedrijf, vloeibaar transport, nieuwe vervloeiingsinstallatie (PBL variant 5B)</v>
      </c>
      <c r="H51" s="125" t="str">
        <f>A247</f>
        <v>CCS - Nieuwe post-combustion CO2-afvang, bestaande biomassaverbrandingsinstallatie (&lt; 100 MWe) niet-ETS-bedrijf, vloeibaar transport, nieuwe vervloeiingsinstallatie (PBL variant 6B)</v>
      </c>
      <c r="I51" s="122" t="str">
        <f>A245</f>
        <v>CCS - Nieuwe pre-combustion CO₂-zuivering, nieuwe installatie niet-ETS-bedrijf, vloeibaar transport, nieuwe vervloeiingsinstallatie (PBL variant 7B)</v>
      </c>
      <c r="J51" s="122" t="str">
        <f>A246</f>
        <v>CCS - Nieuwe post-combustion CO₂-afvang, nieuwe installatie niet-ETS-bedrijf, vloeibaar transport, nieuwe vervloeiingsinstallatie (variant 8B)</v>
      </c>
      <c r="K51" s="122"/>
      <c r="L51" s="122"/>
      <c r="M51" s="122"/>
      <c r="N51" s="122"/>
      <c r="O51" s="122"/>
      <c r="P51" s="122"/>
      <c r="Q51" s="122"/>
      <c r="R51" s="122"/>
      <c r="S51" s="122"/>
      <c r="T51" s="122"/>
    </row>
    <row r="52" spans="1:20" ht="24.95" customHeight="1" x14ac:dyDescent="0.2">
      <c r="A52" s="117" t="str">
        <f>H14</f>
        <v>CO₂-afvang en hergebruik (CCU), gasvormig (bestaande transportleiding)</v>
      </c>
      <c r="B52" s="122" t="str">
        <f>A250</f>
        <v>CCU - Nieuwe pre-combustion CO₂-zuivering bij bestaande installatie, gasvormig transport (bestaande) transportleiding (PBL variant 1A)</v>
      </c>
      <c r="C52" s="122" t="str">
        <f>A251</f>
        <v>CCU - Nieuwe pre-combustion CO₂-zuivering bij nieuwe installatie, gasvormig transport (bestaande) transportleiding (PBL variant 3A)</v>
      </c>
      <c r="D52" s="122" t="str">
        <f>A252</f>
        <v>CCU - Nieuwe post-combustion CO₂-afvang bij bestaande installatie, gasvormig transport (bestaande) transportleiding (PBL variant 4A)</v>
      </c>
      <c r="E52" s="122" t="str">
        <f>A253</f>
        <v>CCU - Nieuwe post-combustion CO₂-afvang bij nieuwe installatie, gasvormig transport (bestaande) transportleiding (PBL variant 5A)</v>
      </c>
      <c r="F52" s="122" t="str">
        <f>A254</f>
        <v>CCU - Nieuwe post-combustion CO₂-afvang bij bestaande afval- of biomassaverbrandingsinstallatie &gt; 50 MWth, gasvormig transport (bestaande) transportleiding (PBL variant 6A)</v>
      </c>
      <c r="G52" s="122" t="str">
        <f>A255</f>
        <v>CCU - Nieuwe post-combustion CO₂-afvang bij biomassaverbrandingsinstallatie ≤ 50 MWth, gasvormig (PBL variant 7A)</v>
      </c>
      <c r="J52" s="122"/>
      <c r="K52" s="122"/>
      <c r="L52" s="122"/>
      <c r="M52" s="122"/>
      <c r="N52" s="122"/>
      <c r="O52" s="122"/>
      <c r="P52" s="122"/>
      <c r="Q52" s="122"/>
      <c r="R52" s="122"/>
      <c r="S52" s="122"/>
      <c r="T52" s="122"/>
    </row>
    <row r="53" spans="1:20" ht="24.95" customHeight="1" x14ac:dyDescent="0.2">
      <c r="A53" s="117" t="str">
        <f>I14</f>
        <v>CO₂-afvang en hergebruik (CCU), gasvormig, nieuwe transportleiding</v>
      </c>
      <c r="B53" s="122" t="str">
        <f>A258</f>
        <v>CCU - Nieuwe pre-combustion CO₂-zuivering bij bestaande installatie, gasvormig transport, nieuwe transportleiding (PBL variant 1B)</v>
      </c>
      <c r="C53" s="122" t="str">
        <f>A259</f>
        <v>CCU - Nieuwe pre-combustion CO₂-zuivering bij nieuwe installatie, gasvormig transport, nieuwe transportleiding (PBL variant 3B)</v>
      </c>
      <c r="D53" s="122" t="str">
        <f>A260</f>
        <v>CCU - Nieuwe post-combustion CO₂-afvang bij bestaande installatie, gasvormig transport, nieuwe transportleiding (PBL variant 4B)</v>
      </c>
      <c r="E53" s="122" t="str">
        <f>A261</f>
        <v>CCU - Nieuwe post-combustion CO₂-afvang bij nieuwe installatie, gasvormig transport, nieuwe transportleiding (PBL variant 5B)</v>
      </c>
      <c r="F53" s="122" t="str">
        <f>A262</f>
        <v>CCU - Nieuwe post-combustion CO₂-afvang bij bestaande afval- of biomassaverbrandingsinstallatie &gt; 50 MWth, gasvormig transport, nieuwe transportleiding (PBL variant 6B)</v>
      </c>
      <c r="G53" s="122"/>
      <c r="H53" s="122"/>
      <c r="I53" s="122"/>
      <c r="J53" s="122"/>
      <c r="K53" s="122"/>
      <c r="L53" s="122"/>
      <c r="M53" s="122"/>
      <c r="N53" s="122"/>
      <c r="O53" s="122"/>
      <c r="P53" s="122"/>
      <c r="Q53" s="122"/>
      <c r="R53" s="122"/>
      <c r="S53" s="122"/>
      <c r="T53" s="122"/>
    </row>
    <row r="54" spans="1:20" ht="24.95" customHeight="1" x14ac:dyDescent="0.2">
      <c r="A54" s="117" t="str">
        <f>J14</f>
        <v>CO₂-afvang en hergebruik (CCU), vloeibaar/vloeibaar transport</v>
      </c>
      <c r="B54" s="122" t="str">
        <f>A265</f>
        <v>CCU - Nieuwe pre-combustion CO₂-zuivering bij bestaande installatie, vloeibaar transport, nieuwe vervloeiingsinstallatie (PBL variant 1C)</v>
      </c>
      <c r="C54" s="122" t="str">
        <f>A266</f>
        <v>Extra CCU - Bestaande CO₂-afvang bij bestaande installatie, vloeibaar transport, nieuwe vervloeiingsinstallatie (PBL variant 2C)</v>
      </c>
      <c r="D54" s="122" t="str">
        <f>A267</f>
        <v>CCU - Nieuwe pre-combustion CO₂-zuivering bij nieuwe installatie, vloeibaar transport, nieuwe vervloeiingsinstallatie (PBL variant 3C)</v>
      </c>
      <c r="E54" s="122" t="str">
        <f>A268</f>
        <v>CCU - Nieuwe post-combustion CO₂-afvang bij bestaande installatie, vloeibaar transport, nieuwe vervloeiingsinstallatie (PBL variant 4C)</v>
      </c>
      <c r="F54" s="122" t="str">
        <f>A269</f>
        <v>CCU - Nieuwe post-combustion CO₂-afvang bij nieuwe installatie, vloeibaar transport, nieuwe vervloeiingsinstallatie (PBL variant 5C)</v>
      </c>
      <c r="G54" s="122" t="str">
        <f>A270</f>
        <v>CCU - Nieuwe post-combustion CO₂-afvang bij bestaande afval- of biomassaverbrandingsinstallatie &gt; 50 MWth, vloeibaar transport, nieuwe vervloeiingsinstallatie (PBL variant 6C)</v>
      </c>
      <c r="H54" s="122" t="str">
        <f>A271</f>
        <v>CCU - Nieuwe post-combustion CO₂-afvang bij biomassaverbrandingsinstallatie ≤ 50 MWth, vloeibaar, nieuwe vervloeiingsinstallatie (PBL variant 7B)</v>
      </c>
      <c r="K54" s="122"/>
      <c r="L54" s="122"/>
      <c r="M54" s="122"/>
      <c r="N54" s="122"/>
      <c r="O54" s="122"/>
      <c r="P54" s="122"/>
      <c r="Q54" s="122"/>
      <c r="R54" s="122"/>
      <c r="S54" s="122"/>
      <c r="T54" s="122"/>
    </row>
    <row r="55" spans="1:20" ht="24.95" customHeight="1" x14ac:dyDescent="0.2">
      <c r="B55" s="122"/>
      <c r="C55" s="122"/>
      <c r="D55" s="122"/>
      <c r="E55" s="122"/>
      <c r="F55" s="122"/>
      <c r="G55" s="122"/>
      <c r="H55" s="122"/>
      <c r="I55" s="122"/>
      <c r="J55" s="122"/>
      <c r="K55" s="122"/>
      <c r="L55" s="122"/>
      <c r="M55" s="122"/>
      <c r="N55" s="122"/>
      <c r="O55" s="122"/>
      <c r="P55" s="122"/>
      <c r="Q55" s="122"/>
      <c r="R55" s="122"/>
      <c r="S55" s="122"/>
      <c r="T55" s="122"/>
    </row>
    <row r="56" spans="1:20" ht="37.5" customHeight="1" x14ac:dyDescent="0.2">
      <c r="A56" s="201" t="str">
        <f>VLOOKUP($D$25,A$27:$T$54,2,FALSE)</f>
        <v>Zon-PV ≥ 15 kWp en &lt; 1 MWp aansluiting &gt; 3*80 A, gebouwgebonden (net = 50%)</v>
      </c>
      <c r="B56" s="201">
        <v>1</v>
      </c>
      <c r="C56" s="202" t="str">
        <f t="shared" ref="C56:C72" si="1">IF(A56=0,"",A56)</f>
        <v>Zon-PV ≥ 15 kWp en &lt; 1 MWp aansluiting &gt; 3*80 A, gebouwgebonden (net = 50%)</v>
      </c>
      <c r="D56" s="122"/>
      <c r="E56" s="122"/>
      <c r="F56" s="122"/>
      <c r="G56" s="122"/>
      <c r="H56" s="122"/>
      <c r="I56" s="122"/>
      <c r="J56" s="122"/>
      <c r="K56" s="122"/>
      <c r="L56" s="122"/>
      <c r="M56" s="122"/>
      <c r="N56" s="122"/>
      <c r="O56" s="122"/>
      <c r="P56" s="122"/>
      <c r="Q56" s="122"/>
      <c r="R56" s="122"/>
      <c r="S56" s="122"/>
      <c r="T56" s="122"/>
    </row>
    <row r="57" spans="1:20" ht="43.5" customHeight="1" x14ac:dyDescent="0.2">
      <c r="A57" s="201" t="str">
        <f>VLOOKUP($D$25,A$27:$T$54,3,FALSE)</f>
        <v>Zon-PV ≥ 1 MWp, gebouwgebonden (net = 50%)</v>
      </c>
      <c r="B57" s="201">
        <v>2</v>
      </c>
      <c r="C57" s="202" t="str">
        <f t="shared" si="1"/>
        <v>Zon-PV ≥ 1 MWp, gebouwgebonden (net = 50%)</v>
      </c>
      <c r="D57" s="122"/>
      <c r="E57" s="122"/>
      <c r="F57" s="122"/>
      <c r="G57" s="122"/>
      <c r="H57" s="122"/>
      <c r="I57" s="122"/>
      <c r="J57" s="122"/>
      <c r="K57" s="122"/>
      <c r="L57" s="122"/>
      <c r="M57" s="122"/>
      <c r="N57" s="122"/>
      <c r="O57" s="122"/>
      <c r="P57" s="122"/>
      <c r="Q57" s="122"/>
      <c r="R57" s="122"/>
      <c r="S57" s="122"/>
      <c r="T57" s="122"/>
    </row>
    <row r="58" spans="1:20" ht="24.95" customHeight="1" x14ac:dyDescent="0.2">
      <c r="A58" s="201" t="str">
        <f>VLOOKUP($D$25,A$27:$T$54,4,FALSE)</f>
        <v>Zon-PV ≥ 15 kWp en &lt;  1 MWp aansluiting &gt; 3*80 A, gebouwgebonden met lichte dakaanpassing of lichtgewicht panelen (net = 50%)</v>
      </c>
      <c r="B58" s="201">
        <v>3</v>
      </c>
      <c r="C58" s="202" t="str">
        <f t="shared" si="1"/>
        <v>Zon-PV ≥ 15 kWp en &lt;  1 MWp aansluiting &gt; 3*80 A, gebouwgebonden met lichte dakaanpassing of lichtgewicht panelen (net = 50%)</v>
      </c>
      <c r="D58" s="122"/>
      <c r="E58" s="122"/>
      <c r="F58" s="122"/>
      <c r="G58" s="122"/>
      <c r="H58" s="122"/>
      <c r="I58" s="122"/>
      <c r="J58" s="122"/>
      <c r="K58" s="122"/>
      <c r="L58" s="122"/>
      <c r="M58" s="122"/>
      <c r="N58" s="122"/>
      <c r="O58" s="122"/>
      <c r="P58" s="122"/>
      <c r="Q58" s="122"/>
      <c r="R58" s="122"/>
      <c r="S58" s="122"/>
      <c r="T58" s="122"/>
    </row>
    <row r="59" spans="1:20" ht="24.95" customHeight="1" x14ac:dyDescent="0.2">
      <c r="A59" s="201" t="str">
        <f>VLOOKUP($D$25,A$27:$T$54,5,FALSE)</f>
        <v>Zon-PV ≥ 1 MWp, gebouwgebonden met lichte dakaanpassing of lichtgewicht panelen (net = 50%)</v>
      </c>
      <c r="B59" s="201">
        <v>4</v>
      </c>
      <c r="C59" s="202" t="str">
        <f t="shared" si="1"/>
        <v>Zon-PV ≥ 1 MWp, gebouwgebonden met lichte dakaanpassing of lichtgewicht panelen (net = 50%)</v>
      </c>
      <c r="D59" s="122"/>
      <c r="E59" s="122"/>
      <c r="F59" s="122"/>
      <c r="G59" s="122"/>
      <c r="H59" s="122"/>
      <c r="I59" s="122"/>
      <c r="J59" s="122"/>
      <c r="K59" s="122"/>
      <c r="L59" s="122"/>
      <c r="M59" s="122"/>
      <c r="N59" s="122"/>
      <c r="O59" s="122"/>
      <c r="P59" s="122"/>
      <c r="Q59" s="122"/>
      <c r="R59" s="122"/>
      <c r="S59" s="122"/>
      <c r="T59" s="122"/>
    </row>
    <row r="60" spans="1:20" ht="24.95" customHeight="1" x14ac:dyDescent="0.2">
      <c r="A60" s="201" t="str">
        <f>VLOOKUP($D$25,A$27:$T$54,6,FALSE)</f>
        <v>Zon-PV ≥ 15 kWp en &lt; 1 MWp aansluiting &gt; 3*80 A, drijvend op water (net = 50%)</v>
      </c>
      <c r="B60" s="201">
        <v>5</v>
      </c>
      <c r="C60" s="202" t="str">
        <f t="shared" si="1"/>
        <v>Zon-PV ≥ 15 kWp en &lt; 1 MWp aansluiting &gt; 3*80 A, drijvend op water (net = 50%)</v>
      </c>
      <c r="D60" s="122"/>
      <c r="E60" s="122"/>
      <c r="F60" s="122"/>
      <c r="G60" s="122"/>
      <c r="H60" s="122"/>
      <c r="I60" s="122"/>
      <c r="J60" s="122"/>
      <c r="K60" s="122"/>
      <c r="L60" s="122"/>
      <c r="M60" s="122"/>
      <c r="N60" s="122"/>
      <c r="O60" s="122"/>
      <c r="P60" s="122"/>
      <c r="Q60" s="122"/>
      <c r="R60" s="122"/>
      <c r="S60" s="122"/>
      <c r="T60" s="122"/>
    </row>
    <row r="61" spans="1:20" ht="24.95" customHeight="1" x14ac:dyDescent="0.2">
      <c r="A61" s="201" t="str">
        <f>VLOOKUP($D$25,A$27:$T$54,7,FALSE)</f>
        <v>Zon-PV ≥ 1 MWp, drijvend op water (net = 50%)</v>
      </c>
      <c r="B61" s="201">
        <v>6</v>
      </c>
      <c r="C61" s="202" t="str">
        <f t="shared" si="1"/>
        <v>Zon-PV ≥ 1 MWp, drijvend op water (net = 50%)</v>
      </c>
      <c r="D61" s="122"/>
      <c r="E61" s="122"/>
      <c r="F61" s="122"/>
      <c r="G61" s="122"/>
      <c r="H61" s="122"/>
      <c r="I61" s="122"/>
      <c r="J61" s="122"/>
      <c r="K61" s="122"/>
      <c r="L61" s="122"/>
      <c r="M61" s="122"/>
      <c r="N61" s="122"/>
      <c r="O61" s="122"/>
      <c r="P61" s="122"/>
      <c r="Q61" s="122"/>
      <c r="R61" s="122"/>
      <c r="S61" s="122"/>
      <c r="T61" s="122"/>
    </row>
    <row r="62" spans="1:20" ht="24.95" customHeight="1" x14ac:dyDescent="0.2">
      <c r="A62" s="201" t="str">
        <f>VLOOKUP($D$25,A$27:$T$54,8,FALSE)</f>
        <v>Zon-PV ≥ 15 kWp en &lt; 1 MWp aansluiting &gt; 3*80 A, op land (net = 50%)</v>
      </c>
      <c r="B62" s="201">
        <v>7</v>
      </c>
      <c r="C62" s="202" t="str">
        <f t="shared" si="1"/>
        <v>Zon-PV ≥ 15 kWp en &lt; 1 MWp aansluiting &gt; 3*80 A, op land (net = 50%)</v>
      </c>
      <c r="D62" s="122"/>
      <c r="E62" s="122"/>
      <c r="F62" s="122"/>
      <c r="G62" s="122"/>
      <c r="H62" s="122"/>
      <c r="I62" s="122"/>
      <c r="J62" s="122"/>
      <c r="K62" s="122"/>
      <c r="L62" s="122"/>
      <c r="M62" s="122"/>
      <c r="N62" s="122"/>
      <c r="O62" s="122"/>
      <c r="P62" s="122"/>
      <c r="Q62" s="122"/>
      <c r="R62" s="122"/>
      <c r="S62" s="122"/>
      <c r="T62" s="122"/>
    </row>
    <row r="63" spans="1:20" ht="24.95" customHeight="1" x14ac:dyDescent="0.2">
      <c r="A63" s="201" t="str">
        <f>VLOOKUP($D$25,A$27:$T$54,9,FALSE)</f>
        <v>Zon-PV ≥ 1 MWp en &lt;  20 MWp, op land (net = 50%)</v>
      </c>
      <c r="B63" s="201">
        <v>8</v>
      </c>
      <c r="C63" s="202" t="str">
        <f t="shared" si="1"/>
        <v>Zon-PV ≥ 1 MWp en &lt;  20 MWp, op land (net = 50%)</v>
      </c>
      <c r="D63" s="122"/>
      <c r="E63" s="122"/>
      <c r="F63" s="122"/>
      <c r="G63" s="122"/>
      <c r="H63" s="122"/>
      <c r="I63" s="122"/>
      <c r="J63" s="122"/>
      <c r="K63" s="122"/>
      <c r="L63" s="122"/>
      <c r="M63" s="122"/>
      <c r="N63" s="122"/>
      <c r="O63" s="122"/>
      <c r="P63" s="122"/>
      <c r="Q63" s="122"/>
      <c r="R63" s="122"/>
      <c r="S63" s="122"/>
      <c r="T63" s="122"/>
    </row>
    <row r="64" spans="1:20" ht="24.95" customHeight="1" x14ac:dyDescent="0.2">
      <c r="A64" s="201" t="str">
        <f>VLOOKUP($D$25,A$27:$T$54,10,FALSE)</f>
        <v>Zon-PV ≥ 20 MWp, op land (net = 50%)</v>
      </c>
      <c r="B64" s="201">
        <v>9</v>
      </c>
      <c r="C64" s="202" t="str">
        <f t="shared" si="1"/>
        <v>Zon-PV ≥ 20 MWp, op land (net = 50%)</v>
      </c>
      <c r="D64" s="122"/>
      <c r="E64" s="122"/>
      <c r="F64" s="122"/>
      <c r="G64" s="122"/>
      <c r="H64" s="122"/>
      <c r="I64" s="122"/>
      <c r="J64" s="122"/>
      <c r="K64" s="122"/>
      <c r="L64" s="122"/>
      <c r="M64" s="122"/>
      <c r="N64" s="122"/>
      <c r="O64" s="122"/>
      <c r="P64" s="122"/>
      <c r="Q64" s="122"/>
      <c r="R64" s="122"/>
      <c r="S64" s="122"/>
      <c r="T64" s="122"/>
    </row>
    <row r="65" spans="1:40" ht="24.95" customHeight="1" x14ac:dyDescent="0.2">
      <c r="A65" s="201" t="str">
        <f>VLOOKUP($D$25,A$27:$T$54,11,FALSE)</f>
        <v>Zon-PV ≥ 15 kWp en &lt;  1 MWp aansluiting &gt; 3*80 A, op land natuurinclusief (net = 50%)</v>
      </c>
      <c r="B65" s="201">
        <v>10</v>
      </c>
      <c r="C65" s="202" t="str">
        <f t="shared" si="1"/>
        <v>Zon-PV ≥ 15 kWp en &lt;  1 MWp aansluiting &gt; 3*80 A, op land natuurinclusief (net = 50%)</v>
      </c>
      <c r="D65" s="122"/>
      <c r="E65" s="122"/>
      <c r="F65" s="122"/>
      <c r="G65" s="122"/>
      <c r="H65" s="122"/>
      <c r="I65" s="122"/>
      <c r="J65" s="122"/>
      <c r="K65" s="122"/>
      <c r="L65" s="122"/>
      <c r="M65" s="122"/>
      <c r="N65" s="122"/>
      <c r="O65" s="122"/>
      <c r="P65" s="122"/>
      <c r="Q65" s="122"/>
      <c r="R65" s="122"/>
      <c r="S65" s="122"/>
      <c r="T65" s="122"/>
    </row>
    <row r="66" spans="1:40" ht="24.95" customHeight="1" x14ac:dyDescent="0.2">
      <c r="A66" s="201" t="str">
        <f>VLOOKUP($D$25,A$27:$T$54,12,FALSE)</f>
        <v>Zon-PV ≥ 1 MWp en &lt;  20 MWp, op land natuurinclusief (net = 50%)</v>
      </c>
      <c r="B66" s="201">
        <v>11</v>
      </c>
      <c r="C66" s="202" t="str">
        <f t="shared" si="1"/>
        <v>Zon-PV ≥ 1 MWp en &lt;  20 MWp, op land natuurinclusief (net = 50%)</v>
      </c>
      <c r="D66" s="122"/>
      <c r="E66" s="122"/>
      <c r="F66" s="122"/>
      <c r="G66" s="122"/>
      <c r="H66" s="122"/>
      <c r="I66" s="122"/>
      <c r="J66" s="122"/>
      <c r="K66" s="122"/>
      <c r="L66" s="122"/>
      <c r="M66" s="122"/>
      <c r="N66" s="122"/>
      <c r="O66" s="122"/>
      <c r="P66" s="122"/>
      <c r="Q66" s="122"/>
      <c r="R66" s="122"/>
      <c r="S66" s="122"/>
      <c r="T66" s="122"/>
    </row>
    <row r="67" spans="1:40" ht="24.95" customHeight="1" x14ac:dyDescent="0.2">
      <c r="A67" s="201" t="str">
        <f>VLOOKUP($D$25,A$27:$T$54,13,FALSE)</f>
        <v>Zon-PV ≥ 20 MWp, op land natuurinclusief (net = 50%)</v>
      </c>
      <c r="B67" s="201">
        <v>12</v>
      </c>
      <c r="C67" s="202" t="str">
        <f t="shared" si="1"/>
        <v>Zon-PV ≥ 20 MWp, op land natuurinclusief (net = 50%)</v>
      </c>
      <c r="D67" s="122"/>
      <c r="E67" s="122"/>
      <c r="F67" s="122"/>
      <c r="G67" s="122"/>
      <c r="H67" s="122"/>
      <c r="I67" s="122"/>
      <c r="J67" s="122"/>
      <c r="K67" s="122"/>
      <c r="L67" s="122"/>
      <c r="M67" s="122"/>
      <c r="N67" s="122"/>
      <c r="O67" s="122"/>
      <c r="P67" s="122"/>
      <c r="Q67" s="122"/>
      <c r="R67" s="122"/>
      <c r="S67" s="122"/>
      <c r="T67" s="122"/>
    </row>
    <row r="68" spans="1:40" ht="24.95" customHeight="1" x14ac:dyDescent="0.2">
      <c r="A68" s="201" t="str">
        <f>VLOOKUP($D$25,A$27:$T$54,14,FALSE)</f>
        <v>Zon-PV ≥ 1 MWp en &lt; 20 MWp, zonvolgend op land</v>
      </c>
      <c r="B68" s="201">
        <v>13</v>
      </c>
      <c r="C68" s="202" t="str">
        <f t="shared" si="1"/>
        <v>Zon-PV ≥ 1 MWp en &lt; 20 MWp, zonvolgend op land</v>
      </c>
      <c r="D68" s="122"/>
      <c r="E68" s="122"/>
      <c r="F68" s="122"/>
      <c r="G68" s="122"/>
      <c r="H68" s="122"/>
      <c r="I68" s="122"/>
      <c r="J68" s="122"/>
      <c r="K68" s="122"/>
      <c r="L68" s="122"/>
      <c r="M68" s="122"/>
      <c r="N68" s="122"/>
      <c r="O68" s="122"/>
      <c r="P68" s="122"/>
      <c r="Q68" s="122"/>
      <c r="R68" s="122"/>
      <c r="S68" s="122"/>
      <c r="T68" s="122"/>
    </row>
    <row r="69" spans="1:40" ht="24.95" customHeight="1" x14ac:dyDescent="0.2">
      <c r="A69" s="201" t="str">
        <f>VLOOKUP($D$25,A$27:$T$54,15,FALSE)</f>
        <v>Zon-PV ≥ 20 MWp, zonvolgend op land</v>
      </c>
      <c r="B69" s="201">
        <v>14</v>
      </c>
      <c r="C69" s="202" t="str">
        <f t="shared" si="1"/>
        <v>Zon-PV ≥ 20 MWp, zonvolgend op land</v>
      </c>
      <c r="D69" s="122"/>
      <c r="E69" s="122"/>
      <c r="F69" s="122"/>
      <c r="G69" s="122"/>
      <c r="H69" s="122"/>
      <c r="I69" s="122"/>
      <c r="J69" s="122"/>
      <c r="K69" s="122"/>
      <c r="L69" s="122"/>
      <c r="M69" s="122"/>
      <c r="N69" s="122"/>
      <c r="O69" s="122"/>
      <c r="P69" s="122"/>
      <c r="Q69" s="122"/>
      <c r="R69" s="122"/>
      <c r="S69" s="122"/>
      <c r="T69" s="122"/>
    </row>
    <row r="70" spans="1:40" ht="24.95" customHeight="1" x14ac:dyDescent="0.2">
      <c r="A70" s="201" t="str">
        <f>VLOOKUP($D$25,A$27:$T$54,16,FALSE)</f>
        <v xml:space="preserve">Zon-PV ≥ 1 MWp en &lt; 20 MWp, zonvolgend op land natuurinclusief </v>
      </c>
      <c r="B70" s="201">
        <v>15</v>
      </c>
      <c r="C70" s="202" t="str">
        <f t="shared" si="1"/>
        <v xml:space="preserve">Zon-PV ≥ 1 MWp en &lt; 20 MWp, zonvolgend op land natuurinclusief </v>
      </c>
      <c r="D70" s="122"/>
      <c r="E70" s="122"/>
      <c r="F70" s="122"/>
      <c r="G70" s="122"/>
      <c r="H70" s="122"/>
      <c r="I70" s="122"/>
      <c r="J70" s="122"/>
      <c r="K70" s="122"/>
      <c r="L70" s="122"/>
      <c r="M70" s="122"/>
      <c r="N70" s="122"/>
      <c r="O70" s="122"/>
      <c r="P70" s="122"/>
      <c r="Q70" s="122"/>
      <c r="R70" s="122"/>
      <c r="S70" s="122"/>
      <c r="T70" s="122"/>
    </row>
    <row r="71" spans="1:40" ht="24.95" customHeight="1" x14ac:dyDescent="0.2">
      <c r="A71" s="201" t="str">
        <f>VLOOKUP($D$25,A$27:$T$54,17,FALSE)</f>
        <v xml:space="preserve">Zon-PV ≥ 20 MWp, zonvolgend op land natuurinclusief
</v>
      </c>
      <c r="B71" s="201">
        <v>16</v>
      </c>
      <c r="C71" s="202" t="str">
        <f t="shared" si="1"/>
        <v xml:space="preserve">Zon-PV ≥ 20 MWp, zonvolgend op land natuurinclusief
</v>
      </c>
      <c r="D71" s="122"/>
      <c r="E71" s="122"/>
      <c r="F71" s="122"/>
      <c r="G71" s="122"/>
      <c r="H71" s="122"/>
      <c r="I71" s="122"/>
      <c r="J71" s="122"/>
      <c r="K71" s="122"/>
      <c r="L71" s="122"/>
      <c r="M71" s="122"/>
      <c r="N71" s="122"/>
      <c r="O71" s="122"/>
      <c r="P71" s="122"/>
      <c r="Q71" s="122"/>
      <c r="R71" s="122"/>
      <c r="S71" s="122"/>
      <c r="T71" s="122"/>
    </row>
    <row r="72" spans="1:40" ht="24.95" customHeight="1" x14ac:dyDescent="0.2">
      <c r="A72" s="201" t="str">
        <f>VLOOKUP($D$25,A$27:$T$54,18,FALSE)</f>
        <v>Zon-PV ≥ 1 MWp, zonvolgend op water</v>
      </c>
      <c r="B72" s="201">
        <v>17</v>
      </c>
      <c r="C72" s="202" t="str">
        <f t="shared" si="1"/>
        <v>Zon-PV ≥ 1 MWp, zonvolgend op water</v>
      </c>
      <c r="D72" s="122"/>
      <c r="E72" s="122"/>
      <c r="F72" s="122"/>
      <c r="G72" s="122"/>
      <c r="H72" s="122"/>
      <c r="I72" s="122"/>
      <c r="J72" s="122"/>
      <c r="K72" s="122"/>
      <c r="L72" s="122"/>
      <c r="M72" s="122"/>
      <c r="N72" s="122"/>
      <c r="O72" s="122"/>
      <c r="P72" s="122"/>
      <c r="Q72" s="122"/>
      <c r="R72" s="122"/>
      <c r="S72" s="122"/>
      <c r="T72" s="122"/>
    </row>
    <row r="73" spans="1:40" ht="24.95" customHeight="1" x14ac:dyDescent="0.2">
      <c r="A73" s="201">
        <f>VLOOKUP($D$25,A$27:$T$54,19,FALSE)</f>
        <v>0</v>
      </c>
      <c r="B73" s="201">
        <v>18</v>
      </c>
      <c r="C73" s="202" t="str">
        <f>IF(A73=0,"",A73)</f>
        <v/>
      </c>
      <c r="D73" s="122"/>
      <c r="E73" s="122"/>
      <c r="F73" s="122"/>
      <c r="G73" s="122"/>
      <c r="H73" s="122"/>
      <c r="I73" s="122"/>
      <c r="J73" s="122"/>
      <c r="K73" s="122"/>
      <c r="L73" s="122"/>
      <c r="M73" s="122"/>
      <c r="N73" s="122"/>
      <c r="O73" s="122"/>
      <c r="P73" s="122"/>
      <c r="Q73" s="122"/>
      <c r="R73" s="122"/>
      <c r="S73" s="122"/>
      <c r="T73" s="122"/>
    </row>
    <row r="74" spans="1:40" ht="24.95" customHeight="1" x14ac:dyDescent="0.2">
      <c r="A74" s="201">
        <f>VLOOKUP($D$25,A$27:$T$54,20,FALSE)</f>
        <v>0</v>
      </c>
      <c r="B74" s="201">
        <v>19</v>
      </c>
      <c r="C74" s="202" t="str">
        <f>IF(A74=0,"",A74)</f>
        <v/>
      </c>
      <c r="D74" s="122"/>
      <c r="E74" s="122"/>
      <c r="F74" s="122"/>
      <c r="G74" s="122"/>
      <c r="H74" s="122"/>
      <c r="I74" s="122"/>
      <c r="J74" s="122"/>
      <c r="K74" s="122"/>
      <c r="L74" s="122"/>
      <c r="M74" s="122"/>
      <c r="N74" s="122"/>
      <c r="O74" s="122"/>
      <c r="P74" s="122"/>
      <c r="Q74" s="122"/>
      <c r="R74" s="122"/>
      <c r="S74" s="122"/>
      <c r="T74" s="122"/>
    </row>
    <row r="75" spans="1:40" ht="36.75" customHeight="1" x14ac:dyDescent="0.2">
      <c r="C75" s="126">
        <v>1</v>
      </c>
      <c r="D75" s="126" t="str">
        <f>VLOOKUP(C75,B56:C74,2,FALSE)</f>
        <v>Zon-PV ≥ 15 kWp en &lt; 1 MWp aansluiting &gt; 3*80 A, gebouwgebonden (net = 50%)</v>
      </c>
      <c r="E75" s="122"/>
      <c r="F75" s="122"/>
      <c r="G75" s="122"/>
      <c r="H75" s="122"/>
      <c r="I75" s="122"/>
      <c r="J75" s="122"/>
      <c r="K75" s="122"/>
      <c r="L75" s="122"/>
      <c r="M75" s="122"/>
      <c r="N75" s="122"/>
      <c r="O75" s="122"/>
      <c r="P75" s="122"/>
      <c r="Q75" s="122"/>
      <c r="R75" s="122"/>
      <c r="S75" s="122"/>
      <c r="T75" s="122"/>
    </row>
    <row r="76" spans="1:40" ht="12.75" customHeight="1" x14ac:dyDescent="0.2">
      <c r="B76" s="116"/>
    </row>
    <row r="77" spans="1:40" ht="12.75" customHeight="1" x14ac:dyDescent="0.2">
      <c r="B77" s="116"/>
    </row>
    <row r="78" spans="1:40" ht="52.5" customHeight="1" x14ac:dyDescent="0.3">
      <c r="A78" s="207" t="s">
        <v>175</v>
      </c>
      <c r="B78" s="209" t="s">
        <v>176</v>
      </c>
      <c r="C78" s="541" t="s">
        <v>177</v>
      </c>
      <c r="D78" s="542"/>
      <c r="E78" s="209" t="s">
        <v>543</v>
      </c>
      <c r="F78" s="210" t="s">
        <v>178</v>
      </c>
      <c r="G78" s="209" t="s">
        <v>179</v>
      </c>
      <c r="H78" s="541" t="s">
        <v>730</v>
      </c>
      <c r="I78" s="542"/>
      <c r="J78" s="542"/>
      <c r="K78" s="542"/>
      <c r="L78" s="209" t="s">
        <v>180</v>
      </c>
      <c r="M78" s="210" t="s">
        <v>181</v>
      </c>
      <c r="N78" s="543" t="s">
        <v>182</v>
      </c>
      <c r="O78" s="543"/>
      <c r="P78" s="543"/>
      <c r="Q78" s="543"/>
      <c r="R78" s="544" t="s">
        <v>183</v>
      </c>
      <c r="S78" s="544"/>
      <c r="T78" s="544"/>
      <c r="U78" s="544"/>
      <c r="V78" s="544"/>
      <c r="W78" s="532" t="s">
        <v>184</v>
      </c>
      <c r="X78" s="532" t="s">
        <v>185</v>
      </c>
      <c r="Y78" s="532" t="s">
        <v>186</v>
      </c>
      <c r="Z78" s="532" t="s">
        <v>187</v>
      </c>
      <c r="AA78" s="217" t="s">
        <v>188</v>
      </c>
      <c r="AB78" s="226" t="s">
        <v>538</v>
      </c>
      <c r="AC78" s="539" t="s">
        <v>681</v>
      </c>
      <c r="AD78" s="540"/>
      <c r="AE78" s="209" t="s">
        <v>691</v>
      </c>
      <c r="AF78" s="239" t="s">
        <v>682</v>
      </c>
      <c r="AG78" s="239" t="s">
        <v>923</v>
      </c>
      <c r="AH78" s="352"/>
      <c r="AI78" s="233"/>
      <c r="AJ78" s="233"/>
      <c r="AK78" s="233"/>
      <c r="AL78" s="233"/>
      <c r="AM78" s="233"/>
      <c r="AN78" s="233"/>
    </row>
    <row r="79" spans="1:40" ht="40.5" customHeight="1" x14ac:dyDescent="0.2">
      <c r="A79" s="129"/>
      <c r="B79" s="129"/>
      <c r="C79" s="130" t="s">
        <v>189</v>
      </c>
      <c r="D79" s="130" t="s">
        <v>535</v>
      </c>
      <c r="E79" s="129"/>
      <c r="F79" s="129"/>
      <c r="G79" s="129"/>
      <c r="H79" s="130" t="s">
        <v>190</v>
      </c>
      <c r="I79" s="130"/>
      <c r="J79" s="216" t="s">
        <v>191</v>
      </c>
      <c r="K79" s="130" t="s">
        <v>192</v>
      </c>
      <c r="L79" s="129"/>
      <c r="M79" s="129"/>
      <c r="N79" s="129" t="s">
        <v>731</v>
      </c>
      <c r="O79" s="129" t="s">
        <v>732</v>
      </c>
      <c r="P79" s="129" t="s">
        <v>733</v>
      </c>
      <c r="Q79" s="129" t="s">
        <v>536</v>
      </c>
      <c r="R79" s="129"/>
      <c r="S79" s="129"/>
      <c r="T79" s="129"/>
      <c r="U79" s="129"/>
      <c r="V79" s="129"/>
      <c r="W79" s="545"/>
      <c r="X79" s="532"/>
      <c r="Y79" s="532"/>
      <c r="Z79" s="532"/>
      <c r="AA79" s="129"/>
      <c r="AB79" s="129"/>
      <c r="AC79" s="130" t="s">
        <v>680</v>
      </c>
      <c r="AD79" s="130" t="s">
        <v>924</v>
      </c>
      <c r="AE79" s="129"/>
      <c r="AF79" s="238"/>
      <c r="AG79" s="130"/>
      <c r="AH79" s="122"/>
    </row>
    <row r="80" spans="1:40" x14ac:dyDescent="0.2">
      <c r="A80" s="206" t="s">
        <v>878</v>
      </c>
      <c r="B80" s="211"/>
      <c r="C80" s="208"/>
      <c r="D80" s="129"/>
      <c r="E80" s="208"/>
      <c r="F80" s="208"/>
      <c r="G80" s="129"/>
      <c r="H80" s="129"/>
      <c r="I80" s="129"/>
      <c r="J80" s="129"/>
      <c r="K80" s="129"/>
      <c r="L80" s="129"/>
      <c r="M80" s="129"/>
      <c r="N80" s="129"/>
      <c r="O80" s="129"/>
      <c r="P80" s="129"/>
      <c r="Q80" s="129"/>
      <c r="R80" s="129"/>
      <c r="S80" s="129"/>
      <c r="T80" s="129"/>
      <c r="U80" s="129"/>
      <c r="V80" s="129"/>
      <c r="W80" s="129"/>
      <c r="X80" s="129"/>
      <c r="Y80" s="129"/>
      <c r="Z80" s="129"/>
      <c r="AA80" s="129"/>
      <c r="AB80" s="129"/>
      <c r="AC80" s="129"/>
      <c r="AD80" s="129"/>
      <c r="AE80" s="129"/>
      <c r="AF80" s="129"/>
      <c r="AG80" s="129"/>
    </row>
    <row r="81" spans="1:33" ht="15" x14ac:dyDescent="0.25">
      <c r="A81" s="129" t="s">
        <v>193</v>
      </c>
      <c r="B81" s="212">
        <v>9.8100000000000007E-2</v>
      </c>
      <c r="C81" s="203">
        <v>5.2999999999999999E-2</v>
      </c>
      <c r="D81" s="212"/>
      <c r="E81" s="205">
        <v>7.7799999999999994E-2</v>
      </c>
      <c r="F81" s="205">
        <v>0.1804</v>
      </c>
      <c r="G81" s="245">
        <f>(B81-E81)*1000/F81</f>
        <v>112.52771618625283</v>
      </c>
      <c r="H81" s="212">
        <v>0.12039999999999999</v>
      </c>
      <c r="I81" s="212" t="str">
        <f>""</f>
        <v/>
      </c>
      <c r="J81" s="212"/>
      <c r="K81" s="212">
        <v>9.7999999999999997E-3</v>
      </c>
      <c r="L81" s="129">
        <v>7535</v>
      </c>
      <c r="M81" s="129">
        <v>12</v>
      </c>
      <c r="N81" s="203">
        <f>MIN($B81,(75*$F81/1000)+$E81)</f>
        <v>9.1329999999999995E-2</v>
      </c>
      <c r="O81" s="203">
        <f>MIN($B81,(150*$F81/1000)+$E81)</f>
        <v>9.8100000000000007E-2</v>
      </c>
      <c r="P81" s="203">
        <f>MIN($B81,(225*$F81/1000)+$E81)</f>
        <v>9.8100000000000007E-2</v>
      </c>
      <c r="Q81" s="203">
        <f>MIN($B81,(300*$F81/1000)+$E81)</f>
        <v>9.8100000000000007E-2</v>
      </c>
      <c r="R81" s="129" t="s">
        <v>194</v>
      </c>
      <c r="S81" s="129" t="s">
        <v>195</v>
      </c>
      <c r="T81" s="129" t="s">
        <v>196</v>
      </c>
      <c r="U81" s="129" t="s">
        <v>197</v>
      </c>
      <c r="V81" s="129" t="s">
        <v>198</v>
      </c>
      <c r="W81" s="129" t="s">
        <v>199</v>
      </c>
      <c r="X81" s="129" t="s">
        <v>200</v>
      </c>
      <c r="Y81" s="129" t="s">
        <v>201</v>
      </c>
      <c r="Z81" s="129" t="s">
        <v>202</v>
      </c>
      <c r="AA81" s="129" t="str">
        <f>IF(Productie_en_afzet!$D$17&gt;=1.5,"Indien het nominaal thermisch ingangsvermogen van de installatie ≥ 2 MW is, gelden er duurzaamheidseisen voor de ingezette biomassa!","")</f>
        <v/>
      </c>
      <c r="AB81" s="129">
        <v>12</v>
      </c>
      <c r="AC81" s="212">
        <f>('PBL OT 2024'!$F$3/POWER(1.02,7)+1.13*('PBL OT 2024'!$F$25/POWER(1.02,7)+'PBL OT 2024'!$D$72)/90%)/(1+1.13)</f>
        <v>6.8169123522511685E-2</v>
      </c>
      <c r="AD81" s="212" t="str">
        <f>IF(AC81&lt;B81,"",FALSE)</f>
        <v/>
      </c>
      <c r="AE81" s="243" t="s">
        <v>872</v>
      </c>
      <c r="AF81" s="235">
        <v>25</v>
      </c>
      <c r="AG81" s="129"/>
    </row>
    <row r="82" spans="1:33" ht="15" x14ac:dyDescent="0.25">
      <c r="A82" s="129" t="s">
        <v>714</v>
      </c>
      <c r="B82" s="212">
        <v>0.2903</v>
      </c>
      <c r="C82" s="204">
        <v>7.6899999999999996E-2</v>
      </c>
      <c r="D82" s="212"/>
      <c r="E82" s="205">
        <v>0.10349999999999999</v>
      </c>
      <c r="F82" s="205">
        <v>0.86629999999999996</v>
      </c>
      <c r="G82" s="245">
        <f t="shared" ref="G82:G144" si="2">(B82-E82)*1000/F82</f>
        <v>215.62968948401249</v>
      </c>
      <c r="H82" s="212">
        <v>0.14949999999999999</v>
      </c>
      <c r="I82" s="212" t="str">
        <f>""</f>
        <v/>
      </c>
      <c r="J82" s="212"/>
      <c r="K82" s="212">
        <v>7.1000000000000004E-3</v>
      </c>
      <c r="L82" s="129">
        <v>4960</v>
      </c>
      <c r="M82" s="129">
        <v>12</v>
      </c>
      <c r="N82" s="203">
        <f t="shared" ref="N82:N87" si="3">MIN($B82,(75*$F82/1000)+$E82)</f>
        <v>0.1684725</v>
      </c>
      <c r="O82" s="203">
        <f t="shared" ref="O82:O87" si="4">MIN($B82,(150*$F82/1000)+$E82)</f>
        <v>0.23344500000000001</v>
      </c>
      <c r="P82" s="203">
        <f t="shared" ref="P82:P87" si="5">MIN($B82,(225*$F82/1000)+$E82)</f>
        <v>0.2903</v>
      </c>
      <c r="Q82" s="203">
        <f t="shared" ref="Q82:Q87" si="6">MIN($B82,(300*$F82/1000)+$E82)</f>
        <v>0.2903</v>
      </c>
      <c r="R82" s="129" t="s">
        <v>194</v>
      </c>
      <c r="S82" s="129" t="s">
        <v>195</v>
      </c>
      <c r="T82" s="129" t="s">
        <v>196</v>
      </c>
      <c r="U82" s="129" t="s">
        <v>197</v>
      </c>
      <c r="V82" s="129" t="s">
        <v>198</v>
      </c>
      <c r="W82" s="129" t="s">
        <v>199</v>
      </c>
      <c r="X82" s="129" t="s">
        <v>200</v>
      </c>
      <c r="Y82" s="129" t="s">
        <v>201</v>
      </c>
      <c r="Z82" s="129" t="s">
        <v>202</v>
      </c>
      <c r="AA82" s="129" t="str">
        <f>""</f>
        <v/>
      </c>
      <c r="AB82" s="129">
        <v>12</v>
      </c>
      <c r="AC82" s="212">
        <f>('PBL OT 2024'!$F$3/POWER(1.02,7)+0.62*('PBL OT 2024'!$F$25/POWER(1.02,7)+'PBL OT 2024'!$D$70)/90%)/(1+0.62)</f>
        <v>9.3178491055430468E-2</v>
      </c>
      <c r="AD82" s="212" t="str">
        <f t="shared" ref="AD82:AD144" si="7">IF(AC82&lt;B82,"",FALSE)</f>
        <v/>
      </c>
      <c r="AE82" s="243" t="s">
        <v>873</v>
      </c>
      <c r="AF82" s="235">
        <v>23</v>
      </c>
      <c r="AG82" s="129"/>
    </row>
    <row r="83" spans="1:33" ht="15" x14ac:dyDescent="0.25">
      <c r="A83" s="129" t="s">
        <v>715</v>
      </c>
      <c r="B83" s="212">
        <v>0.24729999999999999</v>
      </c>
      <c r="C83" s="204">
        <v>7.7899999999999997E-2</v>
      </c>
      <c r="D83" s="212"/>
      <c r="E83" s="205">
        <v>0.1042</v>
      </c>
      <c r="F83" s="205">
        <v>0.86519999999999997</v>
      </c>
      <c r="G83" s="245">
        <f t="shared" si="2"/>
        <v>165.39528432732317</v>
      </c>
      <c r="H83" s="212">
        <v>0.14960000000000001</v>
      </c>
      <c r="I83" s="212"/>
      <c r="J83" s="212"/>
      <c r="K83" s="212">
        <v>7.6E-3</v>
      </c>
      <c r="L83" s="129">
        <v>5078</v>
      </c>
      <c r="M83" s="129">
        <v>12</v>
      </c>
      <c r="N83" s="203">
        <f t="shared" si="3"/>
        <v>0.16909000000000002</v>
      </c>
      <c r="O83" s="203">
        <f t="shared" si="4"/>
        <v>0.23398000000000002</v>
      </c>
      <c r="P83" s="203">
        <f t="shared" si="5"/>
        <v>0.24729999999999999</v>
      </c>
      <c r="Q83" s="203">
        <f t="shared" si="6"/>
        <v>0.24729999999999999</v>
      </c>
      <c r="R83" s="129" t="s">
        <v>194</v>
      </c>
      <c r="S83" s="129" t="s">
        <v>195</v>
      </c>
      <c r="T83" s="129" t="s">
        <v>196</v>
      </c>
      <c r="U83" s="129" t="s">
        <v>197</v>
      </c>
      <c r="V83" s="129" t="s">
        <v>198</v>
      </c>
      <c r="W83" s="129" t="s">
        <v>199</v>
      </c>
      <c r="X83" s="129" t="s">
        <v>200</v>
      </c>
      <c r="Y83" s="129" t="s">
        <v>201</v>
      </c>
      <c r="Z83" s="129" t="s">
        <v>202</v>
      </c>
      <c r="AA83" s="129"/>
      <c r="AB83" s="129">
        <v>12</v>
      </c>
      <c r="AC83" s="212">
        <f>('PBL OT 2024'!$F$3/POWER(1.02,7)+0.69*('PBL OT 2024'!$F$25/POWER(1.02,7)+'PBL OT 2024'!$D$70)/90%)/(1+0.69)</f>
        <v>9.3940548337365676E-2</v>
      </c>
      <c r="AD83" s="212" t="str">
        <f t="shared" si="7"/>
        <v/>
      </c>
      <c r="AE83" s="243" t="s">
        <v>874</v>
      </c>
      <c r="AF83" s="235">
        <v>23</v>
      </c>
      <c r="AG83" s="129"/>
    </row>
    <row r="84" spans="1:33" ht="15" x14ac:dyDescent="0.25">
      <c r="A84" s="129" t="s">
        <v>504</v>
      </c>
      <c r="B84" s="213">
        <v>0.13550000000000001</v>
      </c>
      <c r="C84" s="204">
        <v>5.57E-2</v>
      </c>
      <c r="D84" s="212"/>
      <c r="E84" s="205">
        <v>8.2299999999999998E-2</v>
      </c>
      <c r="F84" s="205">
        <v>0.42109999999999997</v>
      </c>
      <c r="G84" s="245">
        <f t="shared" si="2"/>
        <v>126.33578722393734</v>
      </c>
      <c r="H84" s="212">
        <v>0.1283</v>
      </c>
      <c r="I84" s="212" t="str">
        <f>""</f>
        <v/>
      </c>
      <c r="J84" s="212"/>
      <c r="K84" s="212">
        <v>7.1000000000000004E-3</v>
      </c>
      <c r="L84" s="129">
        <v>5647</v>
      </c>
      <c r="M84" s="129">
        <v>12</v>
      </c>
      <c r="N84" s="203">
        <f t="shared" si="3"/>
        <v>0.1138825</v>
      </c>
      <c r="O84" s="203">
        <f t="shared" si="4"/>
        <v>0.13550000000000001</v>
      </c>
      <c r="P84" s="203">
        <f t="shared" si="5"/>
        <v>0.13550000000000001</v>
      </c>
      <c r="Q84" s="203">
        <f t="shared" si="6"/>
        <v>0.13550000000000001</v>
      </c>
      <c r="R84" s="129" t="s">
        <v>194</v>
      </c>
      <c r="S84" s="129" t="s">
        <v>195</v>
      </c>
      <c r="T84" s="129" t="s">
        <v>196</v>
      </c>
      <c r="U84" s="129" t="s">
        <v>197</v>
      </c>
      <c r="V84" s="129" t="s">
        <v>198</v>
      </c>
      <c r="W84" s="129" t="s">
        <v>199</v>
      </c>
      <c r="X84" s="129" t="s">
        <v>200</v>
      </c>
      <c r="Y84" s="129" t="s">
        <v>201</v>
      </c>
      <c r="Z84" s="129" t="s">
        <v>202</v>
      </c>
      <c r="AA84" s="129" t="str">
        <f>IF(Productie_en_afzet!$D$17&gt;=1.5,"Indien het nominaal thermisch ingangsvermogen van de installatie ≥ 2 MW is, gelden er duurzaamheidseisen voor de ingezette biomassa!","")</f>
        <v/>
      </c>
      <c r="AB84" s="129">
        <v>12</v>
      </c>
      <c r="AC84" s="212">
        <f>('PBL OT 2024'!$F$3/POWER(1.02,7)+0.62*('PBL OT 2024'!$F$25/POWER(1.02,7)+'PBL OT 2024'!$D$72)/90%)/(1+0.62)</f>
        <v>7.195873016763378E-2</v>
      </c>
      <c r="AD84" s="212" t="str">
        <f t="shared" si="7"/>
        <v/>
      </c>
      <c r="AE84" s="243" t="s">
        <v>875</v>
      </c>
      <c r="AF84" s="235">
        <v>25</v>
      </c>
      <c r="AG84" s="129"/>
    </row>
    <row r="85" spans="1:33" ht="15" x14ac:dyDescent="0.25">
      <c r="A85" s="129" t="s">
        <v>203</v>
      </c>
      <c r="B85" s="212">
        <v>0.13439999999999999</v>
      </c>
      <c r="C85" s="204">
        <v>5.7700000000000001E-2</v>
      </c>
      <c r="D85" s="212"/>
      <c r="E85" s="205">
        <v>8.4099999999999994E-2</v>
      </c>
      <c r="F85" s="205">
        <v>0.16769999999999999</v>
      </c>
      <c r="G85" s="245">
        <f t="shared" si="2"/>
        <v>299.94036970781156</v>
      </c>
      <c r="H85" s="212">
        <v>0.1298</v>
      </c>
      <c r="I85" s="212" t="str">
        <f>""</f>
        <v/>
      </c>
      <c r="J85" s="212"/>
      <c r="K85" s="212">
        <v>7.4000000000000003E-3</v>
      </c>
      <c r="L85" s="236">
        <v>5728</v>
      </c>
      <c r="M85" s="129">
        <v>12</v>
      </c>
      <c r="N85" s="203">
        <f t="shared" si="3"/>
        <v>9.66775E-2</v>
      </c>
      <c r="O85" s="203">
        <f t="shared" si="4"/>
        <v>0.10925499999999999</v>
      </c>
      <c r="P85" s="203">
        <f t="shared" si="5"/>
        <v>0.12183249999999998</v>
      </c>
      <c r="Q85" s="203">
        <f t="shared" si="6"/>
        <v>0.13439999999999999</v>
      </c>
      <c r="R85" s="129" t="s">
        <v>194</v>
      </c>
      <c r="S85" s="129" t="s">
        <v>195</v>
      </c>
      <c r="T85" s="129" t="s">
        <v>196</v>
      </c>
      <c r="U85" s="129" t="s">
        <v>197</v>
      </c>
      <c r="V85" s="129" t="s">
        <v>198</v>
      </c>
      <c r="W85" s="129" t="s">
        <v>204</v>
      </c>
      <c r="X85" s="129" t="s">
        <v>200</v>
      </c>
      <c r="Y85" s="129" t="s">
        <v>201</v>
      </c>
      <c r="Z85" s="129" t="s">
        <v>202</v>
      </c>
      <c r="AA85" s="129" t="str">
        <f>IF(Productie_en_afzet!$D$17&gt;=1.5,"Indien het nominaal thermisch ingangsvermogen van de installatie ≥ 2 MW is, gelden er duurzaamheidseisen voor de ingezette biomassa!","")</f>
        <v/>
      </c>
      <c r="AB85" s="129">
        <v>12</v>
      </c>
      <c r="AC85" s="212">
        <f>('PBL OT 2024'!$F$3/POWER(1.02,7)+0.66*('PBL OT 2024'!$F$25/POWER(1.02,7)+'PBL OT 2024'!$D$71)/90%)/(1+0.66)</f>
        <v>7.3844559537073126E-2</v>
      </c>
      <c r="AD85" s="212" t="str">
        <f t="shared" si="7"/>
        <v/>
      </c>
      <c r="AE85" s="243" t="s">
        <v>704</v>
      </c>
      <c r="AF85" s="235">
        <v>24</v>
      </c>
      <c r="AG85" s="129"/>
    </row>
    <row r="86" spans="1:33" ht="15" x14ac:dyDescent="0.25">
      <c r="A86" s="129" t="s">
        <v>931</v>
      </c>
      <c r="B86" s="212">
        <v>7.8600000000000003E-2</v>
      </c>
      <c r="C86" s="204">
        <v>5.3100000000000001E-2</v>
      </c>
      <c r="D86" s="212"/>
      <c r="E86" s="205">
        <v>7.8E-2</v>
      </c>
      <c r="F86" s="205">
        <v>0.17979999999999999</v>
      </c>
      <c r="G86" s="245">
        <f t="shared" si="2"/>
        <v>3.3370411568409528</v>
      </c>
      <c r="H86" s="212">
        <v>0.1208</v>
      </c>
      <c r="I86" s="212" t="str">
        <f>""</f>
        <v/>
      </c>
      <c r="J86" s="212"/>
      <c r="K86" s="212">
        <v>9.7000000000000003E-3</v>
      </c>
      <c r="L86" s="129">
        <v>7540</v>
      </c>
      <c r="M86" s="129">
        <v>12</v>
      </c>
      <c r="N86" s="203">
        <f t="shared" si="3"/>
        <v>7.8600000000000003E-2</v>
      </c>
      <c r="O86" s="203">
        <f t="shared" si="4"/>
        <v>7.8600000000000003E-2</v>
      </c>
      <c r="P86" s="203">
        <f t="shared" si="5"/>
        <v>7.8600000000000003E-2</v>
      </c>
      <c r="Q86" s="203">
        <f t="shared" si="6"/>
        <v>7.8600000000000003E-2</v>
      </c>
      <c r="R86" s="129" t="s">
        <v>194</v>
      </c>
      <c r="S86" s="129" t="s">
        <v>195</v>
      </c>
      <c r="T86" s="129" t="s">
        <v>196</v>
      </c>
      <c r="U86" s="129" t="s">
        <v>197</v>
      </c>
      <c r="V86" s="129" t="s">
        <v>198</v>
      </c>
      <c r="W86" s="129" t="s">
        <v>941</v>
      </c>
      <c r="X86" s="129" t="s">
        <v>200</v>
      </c>
      <c r="Y86" s="129" t="s">
        <v>201</v>
      </c>
      <c r="Z86" s="129" t="s">
        <v>202</v>
      </c>
      <c r="AA86" s="129" t="str">
        <f>IF(Productie_en_afzet!$D$17&gt;=1.5,"Indien het nominaal thermisch ingangsvermogen van de installatie ≥ 2 MW is, gelden er duurzaamheidseisen voor de ingezette biomassa!","")</f>
        <v/>
      </c>
      <c r="AB86" s="129">
        <v>12</v>
      </c>
      <c r="AC86" s="212">
        <f>('PBL OT 2024'!$F$3/POWER(1.02,7)+1.1*('PBL OT 2024'!$F$25/POWER(1.02,7)+'PBL OT 2024'!$D$72)/90%)/(1+1.1)</f>
        <v>6.8341088866071861E-2</v>
      </c>
      <c r="AD86" s="212" t="str">
        <f t="shared" si="7"/>
        <v/>
      </c>
      <c r="AE86" s="243" t="s">
        <v>876</v>
      </c>
      <c r="AF86" s="235">
        <v>25</v>
      </c>
      <c r="AG86" s="129"/>
    </row>
    <row r="87" spans="1:33" ht="15" x14ac:dyDescent="0.25">
      <c r="A87" s="129" t="s">
        <v>932</v>
      </c>
      <c r="B87" s="212">
        <v>0.1328</v>
      </c>
      <c r="C87" s="204">
        <v>7.7899999999999997E-2</v>
      </c>
      <c r="D87" s="212"/>
      <c r="E87" s="205">
        <v>0.1042</v>
      </c>
      <c r="F87" s="205">
        <v>0.86519999999999997</v>
      </c>
      <c r="G87" s="245">
        <f t="shared" si="2"/>
        <v>33.05594082293112</v>
      </c>
      <c r="H87" s="212">
        <v>0.14960000000000001</v>
      </c>
      <c r="I87" s="212" t="str">
        <f>""</f>
        <v/>
      </c>
      <c r="J87" s="212"/>
      <c r="K87" s="212">
        <v>7.6E-3</v>
      </c>
      <c r="L87" s="129">
        <v>5078</v>
      </c>
      <c r="M87" s="129">
        <v>12</v>
      </c>
      <c r="N87" s="203">
        <f t="shared" si="3"/>
        <v>0.1328</v>
      </c>
      <c r="O87" s="203">
        <f t="shared" si="4"/>
        <v>0.1328</v>
      </c>
      <c r="P87" s="203">
        <f t="shared" si="5"/>
        <v>0.1328</v>
      </c>
      <c r="Q87" s="203">
        <f t="shared" si="6"/>
        <v>0.1328</v>
      </c>
      <c r="R87" s="129" t="s">
        <v>194</v>
      </c>
      <c r="S87" s="129" t="s">
        <v>195</v>
      </c>
      <c r="T87" s="129" t="s">
        <v>196</v>
      </c>
      <c r="U87" s="129" t="s">
        <v>197</v>
      </c>
      <c r="V87" s="129" t="s">
        <v>198</v>
      </c>
      <c r="W87" s="129" t="s">
        <v>941</v>
      </c>
      <c r="X87" s="129" t="s">
        <v>200</v>
      </c>
      <c r="Y87" s="129" t="s">
        <v>201</v>
      </c>
      <c r="Z87" s="129" t="s">
        <v>202</v>
      </c>
      <c r="AA87" s="129" t="str">
        <f>""</f>
        <v/>
      </c>
      <c r="AB87" s="129">
        <v>12</v>
      </c>
      <c r="AC87" s="212">
        <f>('PBL OT 2024'!$F$3/POWER(1.02,7)+0.69*('PBL OT 2024'!$F$25/POWER(1.02,7)+'PBL OT 2024'!$D$70)/90%)/(1+0.69)</f>
        <v>9.3940548337365676E-2</v>
      </c>
      <c r="AD87" s="212" t="str">
        <f t="shared" si="7"/>
        <v/>
      </c>
      <c r="AE87" s="243" t="s">
        <v>874</v>
      </c>
      <c r="AF87" s="235">
        <v>23</v>
      </c>
      <c r="AG87" s="129"/>
    </row>
    <row r="88" spans="1:33" ht="15" x14ac:dyDescent="0.25">
      <c r="A88" s="129"/>
      <c r="B88" s="212"/>
      <c r="C88" s="204"/>
      <c r="D88" s="212"/>
      <c r="E88" s="205"/>
      <c r="F88" s="205"/>
      <c r="G88" s="245"/>
      <c r="H88" s="212"/>
      <c r="I88" s="212"/>
      <c r="J88" s="212"/>
      <c r="K88" s="212"/>
      <c r="L88" s="129"/>
      <c r="M88" s="129"/>
      <c r="N88" s="203"/>
      <c r="O88" s="203"/>
      <c r="P88" s="203"/>
      <c r="Q88" s="203"/>
      <c r="R88" s="129"/>
      <c r="S88" s="129"/>
      <c r="T88" s="129"/>
      <c r="U88" s="129"/>
      <c r="V88" s="129"/>
      <c r="W88" s="129"/>
      <c r="X88" s="129"/>
      <c r="Y88" s="129"/>
      <c r="Z88" s="129"/>
      <c r="AA88" s="129"/>
      <c r="AB88" s="129"/>
      <c r="AC88" s="240"/>
      <c r="AD88" s="212"/>
      <c r="AE88" s="212"/>
      <c r="AF88" s="236"/>
      <c r="AG88" s="129"/>
    </row>
    <row r="89" spans="1:33" ht="15" x14ac:dyDescent="0.25">
      <c r="A89" s="206" t="s">
        <v>879</v>
      </c>
      <c r="B89" s="214"/>
      <c r="C89" s="204"/>
      <c r="D89" s="212"/>
      <c r="E89" s="205"/>
      <c r="F89" s="205"/>
      <c r="G89" s="245"/>
      <c r="H89" s="212"/>
      <c r="I89" s="212"/>
      <c r="J89" s="212"/>
      <c r="K89" s="212"/>
      <c r="L89" s="129"/>
      <c r="M89" s="129"/>
      <c r="N89" s="203"/>
      <c r="O89" s="203"/>
      <c r="P89" s="203"/>
      <c r="Q89" s="203"/>
      <c r="R89" s="129"/>
      <c r="S89" s="129"/>
      <c r="T89" s="129"/>
      <c r="U89" s="129"/>
      <c r="V89" s="129"/>
      <c r="W89" s="129"/>
      <c r="X89" s="129"/>
      <c r="Y89" s="129"/>
      <c r="Z89" s="129"/>
      <c r="AA89" s="129"/>
      <c r="AB89" s="129"/>
      <c r="AC89" s="240"/>
      <c r="AD89" s="212"/>
      <c r="AE89" s="212"/>
      <c r="AF89" s="236"/>
      <c r="AG89" s="129"/>
    </row>
    <row r="90" spans="1:33" ht="15" x14ac:dyDescent="0.25">
      <c r="A90" s="129" t="s">
        <v>205</v>
      </c>
      <c r="B90" s="212">
        <v>9.5100000000000004E-2</v>
      </c>
      <c r="C90" s="204">
        <v>4.4499999999999998E-2</v>
      </c>
      <c r="D90" s="212"/>
      <c r="E90" s="205">
        <v>6.3500000000000001E-2</v>
      </c>
      <c r="F90" s="205">
        <v>0.2185</v>
      </c>
      <c r="G90" s="245">
        <f t="shared" si="2"/>
        <v>144.62242562929063</v>
      </c>
      <c r="H90" s="212">
        <v>9.5299999999999996E-2</v>
      </c>
      <c r="I90" s="212" t="str">
        <f>""</f>
        <v/>
      </c>
      <c r="J90" s="212"/>
      <c r="K90" s="212">
        <v>1.8499999999999999E-2</v>
      </c>
      <c r="L90" s="129">
        <v>7000</v>
      </c>
      <c r="M90" s="129">
        <v>12</v>
      </c>
      <c r="N90" s="203">
        <f>MIN($B90,(75*$F90/1000)+$E90)</f>
        <v>7.98875E-2</v>
      </c>
      <c r="O90" s="203">
        <f>MIN($B90,(150*$F90/1000)+$E90)</f>
        <v>9.5100000000000004E-2</v>
      </c>
      <c r="P90" s="203">
        <f>MIN($B90,(225*$F90/1000)+$E90)</f>
        <v>9.5100000000000004E-2</v>
      </c>
      <c r="Q90" s="203">
        <f t="shared" ref="Q90:Q148" si="8">MIN($B90,(300*$F90/1000)+$E90)</f>
        <v>9.5100000000000004E-2</v>
      </c>
      <c r="R90" s="129" t="s">
        <v>195</v>
      </c>
      <c r="S90" s="129" t="str">
        <f>""</f>
        <v/>
      </c>
      <c r="T90" s="129" t="s">
        <v>196</v>
      </c>
      <c r="U90" s="129" t="s">
        <v>197</v>
      </c>
      <c r="V90" s="129" t="s">
        <v>198</v>
      </c>
      <c r="W90" s="129" t="s">
        <v>199</v>
      </c>
      <c r="X90" s="129" t="s">
        <v>206</v>
      </c>
      <c r="Y90" s="129" t="s">
        <v>201</v>
      </c>
      <c r="Z90" s="129" t="s">
        <v>202</v>
      </c>
      <c r="AA90" s="129" t="s">
        <v>249</v>
      </c>
      <c r="AB90" s="129">
        <v>12</v>
      </c>
      <c r="AC90" s="212">
        <f>('PBL OT 2024'!$F$25/POWER(1.02,7)+'PBL OT 2024'!$D$72)/90%</f>
        <v>5.6131549473300332E-2</v>
      </c>
      <c r="AD90" s="212" t="str">
        <f t="shared" si="7"/>
        <v/>
      </c>
      <c r="AE90" s="212" t="s">
        <v>684</v>
      </c>
      <c r="AF90" s="235">
        <v>16</v>
      </c>
      <c r="AG90" s="129"/>
    </row>
    <row r="91" spans="1:33" ht="15" x14ac:dyDescent="0.25">
      <c r="A91" s="129" t="s">
        <v>716</v>
      </c>
      <c r="B91" s="212">
        <v>0.22489999999999999</v>
      </c>
      <c r="C91" s="204">
        <v>4.4499999999999998E-2</v>
      </c>
      <c r="D91" s="212"/>
      <c r="E91" s="205">
        <v>6.3500000000000001E-2</v>
      </c>
      <c r="F91" s="205">
        <v>0.58589999999999998</v>
      </c>
      <c r="G91" s="245">
        <f t="shared" si="2"/>
        <v>275.47363031233994</v>
      </c>
      <c r="H91" s="212">
        <v>9.5299999999999996E-2</v>
      </c>
      <c r="I91" s="212" t="str">
        <f>""</f>
        <v/>
      </c>
      <c r="J91" s="212"/>
      <c r="K91" s="212">
        <v>1.8499999999999999E-2</v>
      </c>
      <c r="L91" s="129">
        <v>8000</v>
      </c>
      <c r="M91" s="129">
        <v>12</v>
      </c>
      <c r="N91" s="203">
        <f t="shared" ref="N91:N97" si="9">MIN($B91,(75*$F91/1000)+$E91)</f>
        <v>0.1074425</v>
      </c>
      <c r="O91" s="203">
        <f t="shared" ref="O91:O97" si="10">MIN($B91,(150*$F91/1000)+$E91)</f>
        <v>0.15138499999999999</v>
      </c>
      <c r="P91" s="203">
        <f t="shared" ref="P91:P97" si="11">MIN($B91,(225*$F91/1000)+$E91)</f>
        <v>0.19532749999999999</v>
      </c>
      <c r="Q91" s="203">
        <f t="shared" si="8"/>
        <v>0.22489999999999999</v>
      </c>
      <c r="R91" s="129" t="s">
        <v>195</v>
      </c>
      <c r="S91" s="129" t="str">
        <f>""</f>
        <v/>
      </c>
      <c r="T91" s="129" t="s">
        <v>196</v>
      </c>
      <c r="U91" s="129" t="s">
        <v>197</v>
      </c>
      <c r="V91" s="129" t="s">
        <v>198</v>
      </c>
      <c r="W91" s="129" t="s">
        <v>199</v>
      </c>
      <c r="X91" s="129" t="s">
        <v>206</v>
      </c>
      <c r="Y91" s="129" t="s">
        <v>201</v>
      </c>
      <c r="Z91" s="129" t="s">
        <v>202</v>
      </c>
      <c r="AA91" s="129" t="str">
        <f>""</f>
        <v/>
      </c>
      <c r="AB91" s="129">
        <v>12</v>
      </c>
      <c r="AC91" s="212">
        <f>('PBL OT 2024'!$F$25/POWER(1.02,7)+'PBL OT 2024'!$D$72)/90%</f>
        <v>5.6131549473300332E-2</v>
      </c>
      <c r="AD91" s="212" t="str">
        <f t="shared" si="7"/>
        <v/>
      </c>
      <c r="AE91" s="212" t="s">
        <v>684</v>
      </c>
      <c r="AF91" s="235">
        <v>16</v>
      </c>
      <c r="AG91" s="129"/>
    </row>
    <row r="92" spans="1:33" ht="15" x14ac:dyDescent="0.25">
      <c r="A92" s="129" t="s">
        <v>717</v>
      </c>
      <c r="B92" s="212">
        <v>0.17649999999999999</v>
      </c>
      <c r="C92" s="204">
        <v>4.4499999999999998E-2</v>
      </c>
      <c r="D92" s="212"/>
      <c r="E92" s="205">
        <v>6.3500000000000001E-2</v>
      </c>
      <c r="F92" s="205">
        <v>0.58699999999999997</v>
      </c>
      <c r="G92" s="245">
        <f t="shared" si="2"/>
        <v>192.50425894378193</v>
      </c>
      <c r="H92" s="212">
        <v>9.5299999999999996E-2</v>
      </c>
      <c r="I92" s="212"/>
      <c r="J92" s="212"/>
      <c r="K92" s="212">
        <v>1.8499999999999999E-2</v>
      </c>
      <c r="L92" s="129">
        <v>8000</v>
      </c>
      <c r="M92" s="129">
        <v>12</v>
      </c>
      <c r="N92" s="203">
        <f t="shared" si="9"/>
        <v>0.10752500000000001</v>
      </c>
      <c r="O92" s="203">
        <f t="shared" si="10"/>
        <v>0.15155000000000002</v>
      </c>
      <c r="P92" s="203">
        <f t="shared" si="11"/>
        <v>0.17649999999999999</v>
      </c>
      <c r="Q92" s="203">
        <f t="shared" si="8"/>
        <v>0.17649999999999999</v>
      </c>
      <c r="R92" s="129" t="s">
        <v>195</v>
      </c>
      <c r="S92" s="129"/>
      <c r="T92" s="129" t="s">
        <v>196</v>
      </c>
      <c r="U92" s="129" t="s">
        <v>197</v>
      </c>
      <c r="V92" s="129" t="s">
        <v>198</v>
      </c>
      <c r="W92" s="129" t="s">
        <v>199</v>
      </c>
      <c r="X92" s="129" t="s">
        <v>206</v>
      </c>
      <c r="Y92" s="129" t="s">
        <v>201</v>
      </c>
      <c r="Z92" s="129" t="s">
        <v>202</v>
      </c>
      <c r="AA92" s="129"/>
      <c r="AB92" s="129">
        <v>12</v>
      </c>
      <c r="AC92" s="212">
        <f>('PBL OT 2024'!$F$25/POWER(1.02,7)+'PBL OT 2024'!$D$72)/90%</f>
        <v>5.6131549473300332E-2</v>
      </c>
      <c r="AD92" s="212" t="str">
        <f t="shared" si="7"/>
        <v/>
      </c>
      <c r="AE92" s="212" t="s">
        <v>684</v>
      </c>
      <c r="AF92" s="235">
        <v>16</v>
      </c>
      <c r="AG92" s="129"/>
    </row>
    <row r="93" spans="1:33" ht="15" x14ac:dyDescent="0.25">
      <c r="A93" s="129" t="s">
        <v>505</v>
      </c>
      <c r="B93" s="213">
        <v>0.12740000000000001</v>
      </c>
      <c r="C93" s="204">
        <v>4.4499999999999998E-2</v>
      </c>
      <c r="D93" s="212"/>
      <c r="E93" s="205">
        <v>6.3500000000000001E-2</v>
      </c>
      <c r="F93" s="205">
        <v>0.3805</v>
      </c>
      <c r="G93" s="245">
        <f t="shared" si="2"/>
        <v>167.93692509855455</v>
      </c>
      <c r="H93" s="212">
        <v>9.5299999999999996E-2</v>
      </c>
      <c r="I93" s="212" t="str">
        <f>""</f>
        <v/>
      </c>
      <c r="J93" s="212"/>
      <c r="K93" s="212">
        <v>1.8499999999999999E-2</v>
      </c>
      <c r="L93" s="129">
        <v>6000</v>
      </c>
      <c r="M93" s="129">
        <v>12</v>
      </c>
      <c r="N93" s="203">
        <f t="shared" si="9"/>
        <v>9.2037499999999994E-2</v>
      </c>
      <c r="O93" s="203">
        <f t="shared" si="10"/>
        <v>0.120575</v>
      </c>
      <c r="P93" s="203">
        <f t="shared" si="11"/>
        <v>0.12740000000000001</v>
      </c>
      <c r="Q93" s="203">
        <f t="shared" si="8"/>
        <v>0.12740000000000001</v>
      </c>
      <c r="R93" s="129" t="s">
        <v>195</v>
      </c>
      <c r="S93" s="129" t="str">
        <f>""</f>
        <v/>
      </c>
      <c r="T93" s="129" t="s">
        <v>196</v>
      </c>
      <c r="U93" s="129" t="s">
        <v>197</v>
      </c>
      <c r="V93" s="129" t="s">
        <v>198</v>
      </c>
      <c r="W93" s="129" t="s">
        <v>199</v>
      </c>
      <c r="X93" s="129" t="s">
        <v>206</v>
      </c>
      <c r="Y93" s="129" t="s">
        <v>201</v>
      </c>
      <c r="Z93" s="129" t="s">
        <v>202</v>
      </c>
      <c r="AA93" s="129" t="str">
        <f>IF(Productie_en_afzet!$D$17&gt;=1.5,"Indien het nominaal thermisch ingangsvermogen van de installatie ≥ 2 MW is, gelden er duurzaamheidseisen voor de ingezette biomassa!","")</f>
        <v/>
      </c>
      <c r="AB93" s="129">
        <v>12</v>
      </c>
      <c r="AC93" s="212">
        <f>('PBL OT 2024'!$F$25/POWER(1.02,7)+'PBL OT 2024'!$D$72)/90%</f>
        <v>5.6131549473300332E-2</v>
      </c>
      <c r="AD93" s="212" t="str">
        <f t="shared" si="7"/>
        <v/>
      </c>
      <c r="AE93" s="212" t="s">
        <v>684</v>
      </c>
      <c r="AF93" s="235">
        <v>16</v>
      </c>
      <c r="AG93" s="129"/>
    </row>
    <row r="94" spans="1:33" ht="15" x14ac:dyDescent="0.25">
      <c r="A94" s="129" t="s">
        <v>207</v>
      </c>
      <c r="B94" s="212">
        <v>0.1018</v>
      </c>
      <c r="C94" s="204">
        <v>4.4499999999999998E-2</v>
      </c>
      <c r="D94" s="212"/>
      <c r="E94" s="205">
        <v>6.3500000000000001E-2</v>
      </c>
      <c r="F94" s="205">
        <v>0.22500000000000001</v>
      </c>
      <c r="G94" s="245">
        <f t="shared" si="2"/>
        <v>170.2222222222222</v>
      </c>
      <c r="H94" s="212">
        <v>9.5299999999999996E-2</v>
      </c>
      <c r="I94" s="212" t="str">
        <f>""</f>
        <v/>
      </c>
      <c r="J94" s="212"/>
      <c r="K94" s="212">
        <v>1.8499999999999999E-2</v>
      </c>
      <c r="L94" s="129">
        <v>7000</v>
      </c>
      <c r="M94" s="129">
        <v>12</v>
      </c>
      <c r="N94" s="203">
        <f t="shared" si="9"/>
        <v>8.0375000000000002E-2</v>
      </c>
      <c r="O94" s="203">
        <f t="shared" si="10"/>
        <v>9.7250000000000003E-2</v>
      </c>
      <c r="P94" s="203">
        <f t="shared" si="11"/>
        <v>0.1018</v>
      </c>
      <c r="Q94" s="203">
        <f t="shared" si="8"/>
        <v>0.1018</v>
      </c>
      <c r="R94" s="129" t="s">
        <v>195</v>
      </c>
      <c r="S94" s="129" t="str">
        <f>""</f>
        <v/>
      </c>
      <c r="T94" s="129" t="s">
        <v>196</v>
      </c>
      <c r="U94" s="129" t="s">
        <v>197</v>
      </c>
      <c r="V94" s="129" t="s">
        <v>198</v>
      </c>
      <c r="W94" s="129" t="s">
        <v>204</v>
      </c>
      <c r="X94" s="129" t="s">
        <v>206</v>
      </c>
      <c r="Y94" s="129" t="s">
        <v>201</v>
      </c>
      <c r="Z94" s="129" t="s">
        <v>202</v>
      </c>
      <c r="AA94" s="129" t="str">
        <f>IF(Productie_en_afzet!$D$17&gt;=1.5,"Indien het nominaal thermisch ingangsvermogen van de installatie ≥ 2 MW is, gelden er duurzaamheidseisen voor de ingezette biomassa!","")</f>
        <v/>
      </c>
      <c r="AB94" s="129">
        <v>12</v>
      </c>
      <c r="AC94" s="212">
        <f>('PBL OT 2024'!$F$25/POWER(1.02,7)+'PBL OT 2024'!$D$72)/90%</f>
        <v>5.6131549473300332E-2</v>
      </c>
      <c r="AD94" s="212" t="str">
        <f t="shared" si="7"/>
        <v/>
      </c>
      <c r="AE94" s="212" t="s">
        <v>684</v>
      </c>
      <c r="AF94" s="235">
        <v>16</v>
      </c>
      <c r="AG94" s="129"/>
    </row>
    <row r="95" spans="1:33" ht="15" x14ac:dyDescent="0.25">
      <c r="A95" s="129" t="s">
        <v>208</v>
      </c>
      <c r="B95" s="212">
        <v>5.74E-2</v>
      </c>
      <c r="C95" s="204">
        <v>4.4499999999999998E-2</v>
      </c>
      <c r="D95" s="212"/>
      <c r="E95" s="205">
        <v>6.3500000000000001E-2</v>
      </c>
      <c r="F95" s="205">
        <v>0.22500000000000001</v>
      </c>
      <c r="G95" s="245">
        <f t="shared" si="2"/>
        <v>-27.111111111111118</v>
      </c>
      <c r="H95" s="212">
        <v>9.5299999999999996E-2</v>
      </c>
      <c r="I95" s="212" t="str">
        <f>""</f>
        <v/>
      </c>
      <c r="J95" s="212"/>
      <c r="K95" s="212">
        <v>1.9E-3</v>
      </c>
      <c r="L95" s="129">
        <v>5200</v>
      </c>
      <c r="M95" s="129">
        <v>12</v>
      </c>
      <c r="N95" s="203">
        <f t="shared" si="9"/>
        <v>5.74E-2</v>
      </c>
      <c r="O95" s="203">
        <f t="shared" si="10"/>
        <v>5.74E-2</v>
      </c>
      <c r="P95" s="203">
        <f t="shared" si="11"/>
        <v>5.74E-2</v>
      </c>
      <c r="Q95" s="203">
        <f t="shared" si="8"/>
        <v>5.74E-2</v>
      </c>
      <c r="R95" s="129" t="s">
        <v>195</v>
      </c>
      <c r="S95" s="129" t="str">
        <f>""</f>
        <v/>
      </c>
      <c r="T95" s="129" t="s">
        <v>196</v>
      </c>
      <c r="U95" s="129" t="s">
        <v>197</v>
      </c>
      <c r="V95" s="129" t="s">
        <v>198</v>
      </c>
      <c r="W95" s="129" t="s">
        <v>199</v>
      </c>
      <c r="X95" s="129" t="s">
        <v>206</v>
      </c>
      <c r="Y95" s="129" t="s">
        <v>201</v>
      </c>
      <c r="Z95" s="129" t="s">
        <v>202</v>
      </c>
      <c r="AA95" s="129" t="s">
        <v>209</v>
      </c>
      <c r="AB95" s="129">
        <v>12</v>
      </c>
      <c r="AC95" s="212">
        <f>('PBL OT 2024'!$F$25/POWER(1.02,7)+'PBL OT 2024'!$D$72)/90%</f>
        <v>5.6131549473300332E-2</v>
      </c>
      <c r="AD95" s="212" t="str">
        <f t="shared" si="7"/>
        <v/>
      </c>
      <c r="AE95" s="212" t="s">
        <v>684</v>
      </c>
      <c r="AF95" s="235">
        <v>16</v>
      </c>
      <c r="AG95" s="129"/>
    </row>
    <row r="96" spans="1:33" ht="15" x14ac:dyDescent="0.25">
      <c r="A96" s="129" t="s">
        <v>933</v>
      </c>
      <c r="B96" s="212">
        <v>7.6700000000000004E-2</v>
      </c>
      <c r="C96" s="204">
        <v>4.4499999999999998E-2</v>
      </c>
      <c r="D96" s="212"/>
      <c r="E96" s="205">
        <v>6.3500000000000001E-2</v>
      </c>
      <c r="F96" s="205">
        <v>0.2185</v>
      </c>
      <c r="G96" s="245">
        <f t="shared" si="2"/>
        <v>60.411899313501159</v>
      </c>
      <c r="H96" s="212">
        <v>9.5299999999999996E-2</v>
      </c>
      <c r="I96" s="212" t="str">
        <f>""</f>
        <v/>
      </c>
      <c r="J96" s="212"/>
      <c r="K96" s="212">
        <v>1.8499999999999999E-2</v>
      </c>
      <c r="L96" s="129">
        <v>7000</v>
      </c>
      <c r="M96" s="129">
        <v>12</v>
      </c>
      <c r="N96" s="203">
        <f t="shared" si="9"/>
        <v>7.6700000000000004E-2</v>
      </c>
      <c r="O96" s="203">
        <f t="shared" si="10"/>
        <v>7.6700000000000004E-2</v>
      </c>
      <c r="P96" s="203">
        <f t="shared" si="11"/>
        <v>7.6700000000000004E-2</v>
      </c>
      <c r="Q96" s="203">
        <f t="shared" si="8"/>
        <v>7.6700000000000004E-2</v>
      </c>
      <c r="R96" s="129" t="s">
        <v>195</v>
      </c>
      <c r="S96" s="129" t="str">
        <f>""</f>
        <v/>
      </c>
      <c r="T96" s="129" t="s">
        <v>196</v>
      </c>
      <c r="U96" s="129" t="s">
        <v>197</v>
      </c>
      <c r="V96" s="129" t="s">
        <v>198</v>
      </c>
      <c r="W96" s="129" t="s">
        <v>941</v>
      </c>
      <c r="X96" s="129" t="s">
        <v>206</v>
      </c>
      <c r="Y96" s="129" t="s">
        <v>201</v>
      </c>
      <c r="Z96" s="129" t="s">
        <v>202</v>
      </c>
      <c r="AA96" s="129" t="str">
        <f>IF(Productie_en_afzet!$D$17&gt;=1.5,"Indien het nominaal thermisch ingangsvermogen van de installatie ≥ 2 MW is, gelden er duurzaamheidseisen voor de ingezette biomassa!","")</f>
        <v/>
      </c>
      <c r="AB96" s="129">
        <v>12</v>
      </c>
      <c r="AC96" s="212">
        <f>('PBL OT 2024'!$F$25/POWER(1.02,7)+'PBL OT 2024'!$D$72)/90%</f>
        <v>5.6131549473300332E-2</v>
      </c>
      <c r="AD96" s="212" t="str">
        <f t="shared" si="7"/>
        <v/>
      </c>
      <c r="AE96" s="212" t="s">
        <v>684</v>
      </c>
      <c r="AF96" s="235">
        <v>16</v>
      </c>
      <c r="AG96" s="129"/>
    </row>
    <row r="97" spans="1:33" ht="15" x14ac:dyDescent="0.25">
      <c r="A97" s="129" t="s">
        <v>934</v>
      </c>
      <c r="B97" s="212">
        <v>0.1074</v>
      </c>
      <c r="C97" s="204">
        <v>4.4499999999999998E-2</v>
      </c>
      <c r="D97" s="212"/>
      <c r="E97" s="205">
        <v>6.3500000000000001E-2</v>
      </c>
      <c r="F97" s="205">
        <v>0.58699999999999997</v>
      </c>
      <c r="G97" s="245">
        <f t="shared" si="2"/>
        <v>74.787052810902892</v>
      </c>
      <c r="H97" s="212">
        <v>9.5299999999999996E-2</v>
      </c>
      <c r="I97" s="212" t="str">
        <f>""</f>
        <v/>
      </c>
      <c r="J97" s="212"/>
      <c r="K97" s="212">
        <v>1.8499999999999999E-2</v>
      </c>
      <c r="L97" s="129">
        <v>8000</v>
      </c>
      <c r="M97" s="129">
        <v>12</v>
      </c>
      <c r="N97" s="203">
        <f t="shared" si="9"/>
        <v>0.1074</v>
      </c>
      <c r="O97" s="203">
        <f t="shared" si="10"/>
        <v>0.1074</v>
      </c>
      <c r="P97" s="203">
        <f t="shared" si="11"/>
        <v>0.1074</v>
      </c>
      <c r="Q97" s="203">
        <f t="shared" si="8"/>
        <v>0.1074</v>
      </c>
      <c r="R97" s="129" t="s">
        <v>195</v>
      </c>
      <c r="S97" s="129" t="str">
        <f>""</f>
        <v/>
      </c>
      <c r="T97" s="129" t="s">
        <v>196</v>
      </c>
      <c r="U97" s="129" t="s">
        <v>197</v>
      </c>
      <c r="V97" s="129" t="s">
        <v>198</v>
      </c>
      <c r="W97" s="129" t="s">
        <v>941</v>
      </c>
      <c r="X97" s="129" t="s">
        <v>206</v>
      </c>
      <c r="Y97" s="129" t="s">
        <v>201</v>
      </c>
      <c r="Z97" s="129" t="s">
        <v>202</v>
      </c>
      <c r="AA97" s="129" t="str">
        <f>""</f>
        <v/>
      </c>
      <c r="AB97" s="129">
        <v>12</v>
      </c>
      <c r="AC97" s="212">
        <f>('PBL OT 2024'!$F$25/POWER(1.02,7)+'PBL OT 2024'!$D$72)/90%</f>
        <v>5.6131549473300332E-2</v>
      </c>
      <c r="AD97" s="212" t="str">
        <f t="shared" si="7"/>
        <v/>
      </c>
      <c r="AE97" s="212" t="s">
        <v>684</v>
      </c>
      <c r="AF97" s="235">
        <v>16</v>
      </c>
      <c r="AG97" s="129"/>
    </row>
    <row r="98" spans="1:33" ht="15" x14ac:dyDescent="0.25">
      <c r="A98" s="129"/>
      <c r="B98" s="212"/>
      <c r="C98" s="204"/>
      <c r="D98" s="212"/>
      <c r="E98" s="205"/>
      <c r="F98" s="205"/>
      <c r="G98" s="245"/>
      <c r="H98" s="212"/>
      <c r="I98" s="212"/>
      <c r="J98" s="212"/>
      <c r="K98" s="212"/>
      <c r="L98" s="129"/>
      <c r="M98" s="129"/>
      <c r="N98" s="203"/>
      <c r="O98" s="203"/>
      <c r="P98" s="203"/>
      <c r="Q98" s="203"/>
      <c r="R98" s="129"/>
      <c r="S98" s="129"/>
      <c r="T98" s="129"/>
      <c r="U98" s="129"/>
      <c r="V98" s="129"/>
      <c r="W98" s="129"/>
      <c r="X98" s="129"/>
      <c r="Y98" s="129"/>
      <c r="Z98" s="218"/>
      <c r="AA98" s="129"/>
      <c r="AB98" s="129"/>
      <c r="AC98" s="240"/>
      <c r="AD98" s="212"/>
      <c r="AE98" s="212"/>
      <c r="AF98" s="236"/>
      <c r="AG98" s="129"/>
    </row>
    <row r="99" spans="1:33" ht="15" x14ac:dyDescent="0.25">
      <c r="A99" s="206" t="s">
        <v>880</v>
      </c>
      <c r="B99" s="214"/>
      <c r="C99" s="204"/>
      <c r="D99" s="212"/>
      <c r="E99" s="205"/>
      <c r="F99" s="205"/>
      <c r="G99" s="245"/>
      <c r="H99" s="212"/>
      <c r="I99" s="212"/>
      <c r="J99" s="212"/>
      <c r="K99" s="212"/>
      <c r="L99" s="129"/>
      <c r="M99" s="129"/>
      <c r="N99" s="203"/>
      <c r="O99" s="203"/>
      <c r="P99" s="203"/>
      <c r="Q99" s="203"/>
      <c r="R99" s="129"/>
      <c r="S99" s="129"/>
      <c r="T99" s="129"/>
      <c r="U99" s="129"/>
      <c r="V99" s="129"/>
      <c r="W99" s="129"/>
      <c r="X99" s="129"/>
      <c r="Y99" s="129"/>
      <c r="Z99" s="129"/>
      <c r="AA99" s="129"/>
      <c r="AB99" s="129"/>
      <c r="AC99" s="240"/>
      <c r="AD99" s="212"/>
      <c r="AE99" s="212"/>
      <c r="AF99" s="236"/>
      <c r="AG99" s="129"/>
    </row>
    <row r="100" spans="1:33" ht="15" x14ac:dyDescent="0.25">
      <c r="A100" s="129" t="s">
        <v>210</v>
      </c>
      <c r="B100" s="212">
        <v>8.77E-2</v>
      </c>
      <c r="C100" s="204">
        <v>3.0800000000000001E-2</v>
      </c>
      <c r="D100" s="212"/>
      <c r="E100" s="205">
        <v>4.6199999999999998E-2</v>
      </c>
      <c r="F100" s="205">
        <v>0.1716</v>
      </c>
      <c r="G100" s="245">
        <f t="shared" si="2"/>
        <v>241.84149184149183</v>
      </c>
      <c r="H100" s="212">
        <v>7.1900000000000006E-2</v>
      </c>
      <c r="I100" s="212" t="str">
        <f>""</f>
        <v/>
      </c>
      <c r="J100" s="212"/>
      <c r="K100" s="213"/>
      <c r="L100" s="129">
        <v>8000</v>
      </c>
      <c r="M100" s="129">
        <v>12</v>
      </c>
      <c r="N100" s="203">
        <f>MIN($B100,(75*$F100/1000)+$E100)</f>
        <v>5.9069999999999998E-2</v>
      </c>
      <c r="O100" s="203">
        <f>MIN($B100,(150*$F100/1000)+$E100)</f>
        <v>7.1940000000000004E-2</v>
      </c>
      <c r="P100" s="203">
        <f>MIN($B100,(225*$F100/1000)+$E100)</f>
        <v>8.4809999999999997E-2</v>
      </c>
      <c r="Q100" s="203">
        <f t="shared" si="8"/>
        <v>8.77E-2</v>
      </c>
      <c r="R100" s="129" t="s">
        <v>211</v>
      </c>
      <c r="S100" s="129" t="str">
        <f>""</f>
        <v/>
      </c>
      <c r="T100" s="129" t="s">
        <v>196</v>
      </c>
      <c r="U100" s="129" t="s">
        <v>197</v>
      </c>
      <c r="V100" s="129" t="s">
        <v>198</v>
      </c>
      <c r="W100" s="129" t="s">
        <v>199</v>
      </c>
      <c r="X100" s="129" t="s">
        <v>143</v>
      </c>
      <c r="Y100" s="129" t="s">
        <v>201</v>
      </c>
      <c r="Z100" s="129" t="s">
        <v>202</v>
      </c>
      <c r="AA100" s="129" t="str">
        <f>IF(Productie_en_afzet!$D$17&gt;=2,"Het vermogen van de gasopwaardeerinstallatie is ≥ 2 MW, er gelden duurzaamheidseisen voor de ingezette biomassa!","")</f>
        <v/>
      </c>
      <c r="AB100" s="129">
        <v>12</v>
      </c>
      <c r="AC100" s="212">
        <f>'PBL OT 2024'!$F$8/POWER(1.02,7)</f>
        <v>4.0232675198946827E-2</v>
      </c>
      <c r="AD100" s="212" t="str">
        <f t="shared" si="7"/>
        <v/>
      </c>
      <c r="AE100" s="212" t="s">
        <v>698</v>
      </c>
      <c r="AF100" s="235">
        <v>13</v>
      </c>
      <c r="AG100" s="129"/>
    </row>
    <row r="101" spans="1:33" ht="15" x14ac:dyDescent="0.25">
      <c r="A101" s="129" t="s">
        <v>712</v>
      </c>
      <c r="B101" s="212">
        <v>0.21870000000000001</v>
      </c>
      <c r="C101" s="204">
        <v>3.0800000000000001E-2</v>
      </c>
      <c r="D101" s="212"/>
      <c r="E101" s="205">
        <v>4.6199999999999998E-2</v>
      </c>
      <c r="F101" s="205">
        <v>0.51200000000000001</v>
      </c>
      <c r="G101" s="245">
        <f t="shared" si="2"/>
        <v>336.91406250000006</v>
      </c>
      <c r="H101" s="212">
        <v>7.1900000000000006E-2</v>
      </c>
      <c r="I101" s="212" t="str">
        <f>""</f>
        <v/>
      </c>
      <c r="J101" s="212"/>
      <c r="K101" s="213"/>
      <c r="L101" s="129">
        <v>8000</v>
      </c>
      <c r="M101" s="129">
        <v>12</v>
      </c>
      <c r="N101" s="203">
        <f t="shared" ref="N101:N110" si="12">MIN($B101,(75*$F101/1000)+$E101)</f>
        <v>8.4599999999999995E-2</v>
      </c>
      <c r="O101" s="203">
        <f t="shared" ref="O101:O110" si="13">MIN($B101,(150*$F101/1000)+$E101)</f>
        <v>0.123</v>
      </c>
      <c r="P101" s="203">
        <f t="shared" ref="P101:P110" si="14">MIN($B101,(225*$F101/1000)+$E101)</f>
        <v>0.16139999999999999</v>
      </c>
      <c r="Q101" s="203">
        <f t="shared" si="8"/>
        <v>0.19979999999999998</v>
      </c>
      <c r="R101" s="129" t="s">
        <v>211</v>
      </c>
      <c r="S101" s="129" t="str">
        <f>""</f>
        <v/>
      </c>
      <c r="T101" s="129" t="s">
        <v>196</v>
      </c>
      <c r="U101" s="129" t="s">
        <v>197</v>
      </c>
      <c r="V101" s="129" t="s">
        <v>198</v>
      </c>
      <c r="W101" s="129" t="s">
        <v>199</v>
      </c>
      <c r="X101" s="129" t="s">
        <v>143</v>
      </c>
      <c r="Y101" s="129" t="s">
        <v>201</v>
      </c>
      <c r="Z101" s="129" t="s">
        <v>202</v>
      </c>
      <c r="AA101" s="129" t="str">
        <f>""</f>
        <v/>
      </c>
      <c r="AB101" s="129">
        <v>12</v>
      </c>
      <c r="AC101" s="212">
        <f>'PBL OT 2024'!$F$8/POWER(1.02,7)</f>
        <v>4.0232675198946827E-2</v>
      </c>
      <c r="AD101" s="212" t="str">
        <f t="shared" si="7"/>
        <v/>
      </c>
      <c r="AE101" s="212" t="s">
        <v>698</v>
      </c>
      <c r="AF101" s="235">
        <v>13</v>
      </c>
      <c r="AG101" s="129"/>
    </row>
    <row r="102" spans="1:33" ht="15" x14ac:dyDescent="0.25">
      <c r="A102" s="129" t="s">
        <v>713</v>
      </c>
      <c r="B102" s="212">
        <v>0.1588</v>
      </c>
      <c r="C102" s="204">
        <v>3.0800000000000001E-2</v>
      </c>
      <c r="D102" s="212"/>
      <c r="E102" s="205">
        <v>4.6199999999999998E-2</v>
      </c>
      <c r="F102" s="205">
        <v>0.50480000000000003</v>
      </c>
      <c r="G102" s="245">
        <f t="shared" si="2"/>
        <v>223.05863708399366</v>
      </c>
      <c r="H102" s="212">
        <v>7.1900000000000006E-2</v>
      </c>
      <c r="I102" s="212"/>
      <c r="J102" s="212"/>
      <c r="K102" s="213"/>
      <c r="L102" s="129">
        <v>8000</v>
      </c>
      <c r="M102" s="129">
        <v>12</v>
      </c>
      <c r="N102" s="203">
        <f t="shared" si="12"/>
        <v>8.4059999999999996E-2</v>
      </c>
      <c r="O102" s="203">
        <f t="shared" si="13"/>
        <v>0.12192</v>
      </c>
      <c r="P102" s="203">
        <f t="shared" si="14"/>
        <v>0.1588</v>
      </c>
      <c r="Q102" s="203">
        <f t="shared" si="8"/>
        <v>0.1588</v>
      </c>
      <c r="R102" s="129" t="s">
        <v>211</v>
      </c>
      <c r="S102" s="129"/>
      <c r="T102" s="129" t="s">
        <v>196</v>
      </c>
      <c r="U102" s="129" t="s">
        <v>197</v>
      </c>
      <c r="V102" s="129" t="s">
        <v>198</v>
      </c>
      <c r="W102" s="129" t="s">
        <v>199</v>
      </c>
      <c r="X102" s="129" t="s">
        <v>143</v>
      </c>
      <c r="Y102" s="129" t="s">
        <v>201</v>
      </c>
      <c r="Z102" s="129" t="s">
        <v>202</v>
      </c>
      <c r="AA102" s="129"/>
      <c r="AB102" s="129">
        <v>12</v>
      </c>
      <c r="AC102" s="212">
        <f>'PBL OT 2024'!$F$8/POWER(1.02,7)</f>
        <v>4.0232675198946827E-2</v>
      </c>
      <c r="AD102" s="212" t="str">
        <f t="shared" si="7"/>
        <v/>
      </c>
      <c r="AE102" s="212" t="s">
        <v>698</v>
      </c>
      <c r="AF102" s="235">
        <v>13</v>
      </c>
      <c r="AG102" s="129"/>
    </row>
    <row r="103" spans="1:33" ht="15" x14ac:dyDescent="0.25">
      <c r="A103" s="129" t="s">
        <v>506</v>
      </c>
      <c r="B103" s="213">
        <v>0.10009999999999999</v>
      </c>
      <c r="C103" s="204">
        <v>3.0800000000000001E-2</v>
      </c>
      <c r="D103" s="212"/>
      <c r="E103" s="205">
        <v>4.6199999999999998E-2</v>
      </c>
      <c r="F103" s="205">
        <v>0.31740000000000002</v>
      </c>
      <c r="G103" s="245">
        <f t="shared" si="2"/>
        <v>169.81726528040326</v>
      </c>
      <c r="H103" s="212">
        <v>7.1900000000000006E-2</v>
      </c>
      <c r="I103" s="212" t="str">
        <f>""</f>
        <v/>
      </c>
      <c r="J103" s="212"/>
      <c r="K103" s="213"/>
      <c r="L103" s="129">
        <v>8000</v>
      </c>
      <c r="M103" s="129">
        <v>12</v>
      </c>
      <c r="N103" s="203">
        <f t="shared" si="12"/>
        <v>7.0004999999999998E-2</v>
      </c>
      <c r="O103" s="203">
        <f t="shared" si="13"/>
        <v>9.3810000000000004E-2</v>
      </c>
      <c r="P103" s="203">
        <f t="shared" si="14"/>
        <v>0.10009999999999999</v>
      </c>
      <c r="Q103" s="203">
        <f t="shared" si="8"/>
        <v>0.10009999999999999</v>
      </c>
      <c r="R103" s="129" t="s">
        <v>211</v>
      </c>
      <c r="S103" s="129" t="str">
        <f>""</f>
        <v/>
      </c>
      <c r="T103" s="129" t="s">
        <v>196</v>
      </c>
      <c r="U103" s="129" t="s">
        <v>197</v>
      </c>
      <c r="V103" s="129" t="s">
        <v>198</v>
      </c>
      <c r="W103" s="129" t="s">
        <v>199</v>
      </c>
      <c r="X103" s="129" t="s">
        <v>143</v>
      </c>
      <c r="Y103" s="129" t="s">
        <v>201</v>
      </c>
      <c r="Z103" s="129" t="s">
        <v>202</v>
      </c>
      <c r="AA103" s="129" t="str">
        <f>IF(Productie_en_afzet!$D$17&gt;=2,"Het vermogen van de gasopwaardeerinstallatie is ≥ 2 MW, er gelden duurzaamheidseisen voor de ingezette biomassa!","")</f>
        <v/>
      </c>
      <c r="AB103" s="129">
        <v>12</v>
      </c>
      <c r="AC103" s="212">
        <f>'PBL OT 2024'!$F$8/POWER(1.02,7)</f>
        <v>4.0232675198946827E-2</v>
      </c>
      <c r="AD103" s="212" t="str">
        <f t="shared" si="7"/>
        <v/>
      </c>
      <c r="AE103" s="212" t="s">
        <v>698</v>
      </c>
      <c r="AF103" s="235">
        <v>13</v>
      </c>
      <c r="AG103" s="129"/>
    </row>
    <row r="104" spans="1:33" ht="15" x14ac:dyDescent="0.25">
      <c r="A104" s="129" t="s">
        <v>212</v>
      </c>
      <c r="B104" s="212">
        <v>0.11899999999999999</v>
      </c>
      <c r="C104" s="204">
        <v>3.0800000000000001E-2</v>
      </c>
      <c r="D104" s="212"/>
      <c r="E104" s="205">
        <v>4.6199999999999998E-2</v>
      </c>
      <c r="F104" s="205">
        <v>0.182</v>
      </c>
      <c r="G104" s="245">
        <f t="shared" si="2"/>
        <v>400</v>
      </c>
      <c r="H104" s="212">
        <v>7.1900000000000006E-2</v>
      </c>
      <c r="I104" s="212" t="str">
        <f>""</f>
        <v/>
      </c>
      <c r="J104" s="212"/>
      <c r="K104" s="213"/>
      <c r="L104" s="129">
        <v>8000</v>
      </c>
      <c r="M104" s="129">
        <v>12</v>
      </c>
      <c r="N104" s="203">
        <f t="shared" si="12"/>
        <v>5.985E-2</v>
      </c>
      <c r="O104" s="203">
        <f t="shared" si="13"/>
        <v>7.3499999999999996E-2</v>
      </c>
      <c r="P104" s="203">
        <f t="shared" si="14"/>
        <v>8.7149999999999991E-2</v>
      </c>
      <c r="Q104" s="203">
        <f t="shared" si="8"/>
        <v>0.1008</v>
      </c>
      <c r="R104" s="129" t="s">
        <v>211</v>
      </c>
      <c r="S104" s="129" t="str">
        <f>""</f>
        <v/>
      </c>
      <c r="T104" s="129" t="s">
        <v>196</v>
      </c>
      <c r="U104" s="129" t="s">
        <v>197</v>
      </c>
      <c r="V104" s="129" t="s">
        <v>198</v>
      </c>
      <c r="W104" s="129" t="s">
        <v>204</v>
      </c>
      <c r="X104" s="129" t="s">
        <v>143</v>
      </c>
      <c r="Y104" s="129" t="s">
        <v>201</v>
      </c>
      <c r="Z104" s="129" t="s">
        <v>202</v>
      </c>
      <c r="AA104" s="129" t="str">
        <f>IF(Productie_en_afzet!$D$17&gt;=2,"Het vermogen van de gasopwaardeerinstallatie is ≥ 2 MW, er gelden duurzaamheidseisen voor de ingezette biomassa!","")</f>
        <v/>
      </c>
      <c r="AB104" s="129">
        <v>12</v>
      </c>
      <c r="AC104" s="212">
        <f>'PBL OT 2024'!$F$8/POWER(1.02,7)</f>
        <v>4.0232675198946827E-2</v>
      </c>
      <c r="AD104" s="212" t="str">
        <f t="shared" si="7"/>
        <v/>
      </c>
      <c r="AE104" s="212" t="s">
        <v>698</v>
      </c>
      <c r="AF104" s="235">
        <v>13</v>
      </c>
      <c r="AG104" s="129"/>
    </row>
    <row r="105" spans="1:33" ht="15" x14ac:dyDescent="0.25">
      <c r="A105" s="129" t="s">
        <v>213</v>
      </c>
      <c r="B105" s="212">
        <v>9.1499999999999998E-2</v>
      </c>
      <c r="C105" s="204">
        <v>3.0800000000000001E-2</v>
      </c>
      <c r="D105" s="212"/>
      <c r="E105" s="205">
        <v>4.6199999999999998E-2</v>
      </c>
      <c r="F105" s="205">
        <v>0.1651</v>
      </c>
      <c r="G105" s="245">
        <f t="shared" si="2"/>
        <v>274.37916414294364</v>
      </c>
      <c r="H105" s="212">
        <v>7.1900000000000006E-2</v>
      </c>
      <c r="I105" s="212" t="str">
        <f>""</f>
        <v/>
      </c>
      <c r="J105" s="212"/>
      <c r="K105" s="213"/>
      <c r="L105" s="129">
        <v>7500</v>
      </c>
      <c r="M105" s="129">
        <v>15</v>
      </c>
      <c r="N105" s="203">
        <f t="shared" si="12"/>
        <v>5.8582499999999996E-2</v>
      </c>
      <c r="O105" s="203">
        <f t="shared" si="13"/>
        <v>7.0965E-2</v>
      </c>
      <c r="P105" s="203">
        <f t="shared" si="14"/>
        <v>8.3347499999999991E-2</v>
      </c>
      <c r="Q105" s="203">
        <f t="shared" si="8"/>
        <v>9.1499999999999998E-2</v>
      </c>
      <c r="R105" s="129" t="s">
        <v>211</v>
      </c>
      <c r="S105" s="129" t="str">
        <f>""</f>
        <v/>
      </c>
      <c r="T105" s="129" t="s">
        <v>196</v>
      </c>
      <c r="U105" s="129" t="s">
        <v>197</v>
      </c>
      <c r="V105" s="129" t="s">
        <v>198</v>
      </c>
      <c r="W105" s="129" t="s">
        <v>199</v>
      </c>
      <c r="X105" s="129" t="s">
        <v>143</v>
      </c>
      <c r="Y105" s="129" t="s">
        <v>201</v>
      </c>
      <c r="Z105" s="129" t="s">
        <v>202</v>
      </c>
      <c r="AA105" s="129" t="str">
        <f>IF(Productie_en_afzet!$D$17&gt;=2,"Het vermogen van de gasopwaardeerinstallatie is ≥ 2 MW, er gelden duurzaamheidseisen voor de ingezette biomassa!","")</f>
        <v/>
      </c>
      <c r="AB105" s="129">
        <v>12</v>
      </c>
      <c r="AC105" s="212">
        <f>'PBL OT 2024'!$F$8/POWER(1.02,7)</f>
        <v>4.0232675198946827E-2</v>
      </c>
      <c r="AD105" s="212" t="str">
        <f t="shared" si="7"/>
        <v/>
      </c>
      <c r="AE105" s="212" t="s">
        <v>698</v>
      </c>
      <c r="AF105" s="235">
        <v>13</v>
      </c>
      <c r="AG105" s="129"/>
    </row>
    <row r="106" spans="1:33" ht="15" x14ac:dyDescent="0.25">
      <c r="A106" s="129" t="s">
        <v>214</v>
      </c>
      <c r="B106" s="212">
        <v>0.11223999999999998</v>
      </c>
      <c r="C106" s="204">
        <v>3.0800000000000001E-2</v>
      </c>
      <c r="D106" s="212"/>
      <c r="E106" s="205">
        <v>4.6199999999999998E-2</v>
      </c>
      <c r="F106" s="205">
        <v>0.1651</v>
      </c>
      <c r="G106" s="245">
        <f t="shared" si="2"/>
        <v>399.99999999999994</v>
      </c>
      <c r="H106" s="212">
        <v>7.1900000000000006E-2</v>
      </c>
      <c r="I106" s="212" t="str">
        <f>""</f>
        <v/>
      </c>
      <c r="J106" s="212"/>
      <c r="K106" s="213"/>
      <c r="L106" s="129">
        <v>7500</v>
      </c>
      <c r="M106" s="129">
        <v>15</v>
      </c>
      <c r="N106" s="203">
        <f t="shared" si="12"/>
        <v>5.8582499999999996E-2</v>
      </c>
      <c r="O106" s="203">
        <f t="shared" si="13"/>
        <v>7.0965E-2</v>
      </c>
      <c r="P106" s="203">
        <f t="shared" si="14"/>
        <v>8.3347499999999991E-2</v>
      </c>
      <c r="Q106" s="203">
        <f t="shared" si="8"/>
        <v>9.573000000000001E-2</v>
      </c>
      <c r="R106" s="129" t="s">
        <v>211</v>
      </c>
      <c r="S106" s="129" t="str">
        <f>""</f>
        <v/>
      </c>
      <c r="T106" s="129" t="s">
        <v>196</v>
      </c>
      <c r="U106" s="129" t="s">
        <v>197</v>
      </c>
      <c r="V106" s="129" t="s">
        <v>198</v>
      </c>
      <c r="W106" s="129" t="s">
        <v>199</v>
      </c>
      <c r="X106" s="129" t="s">
        <v>143</v>
      </c>
      <c r="Y106" s="129" t="s">
        <v>201</v>
      </c>
      <c r="Z106" s="129" t="s">
        <v>202</v>
      </c>
      <c r="AA106" s="129" t="str">
        <f>IF(Productie_en_afzet!$D$17&gt;=2,"Het vermogen van de gasopwaardeerinstallatie is ≥ 2 MW, er gelden duurzaamheidseisen voor de ingezette biomassa!","")</f>
        <v/>
      </c>
      <c r="AB106" s="129">
        <v>12</v>
      </c>
      <c r="AC106" s="212">
        <f>'PBL OT 2024'!$F$8/POWER(1.02,7)</f>
        <v>4.0232675198946827E-2</v>
      </c>
      <c r="AD106" s="212" t="str">
        <f t="shared" si="7"/>
        <v/>
      </c>
      <c r="AE106" s="212" t="s">
        <v>698</v>
      </c>
      <c r="AF106" s="235">
        <v>13</v>
      </c>
      <c r="AG106" s="129"/>
    </row>
    <row r="107" spans="1:33" ht="15" x14ac:dyDescent="0.25">
      <c r="A107" s="129" t="s">
        <v>935</v>
      </c>
      <c r="B107" s="212">
        <v>6.8400000000000002E-2</v>
      </c>
      <c r="C107" s="204">
        <v>3.0800000000000001E-2</v>
      </c>
      <c r="D107" s="212"/>
      <c r="E107" s="205">
        <v>4.6199999999999998E-2</v>
      </c>
      <c r="F107" s="205">
        <v>0.1716</v>
      </c>
      <c r="G107" s="245">
        <f t="shared" si="2"/>
        <v>129.37062937062939</v>
      </c>
      <c r="H107" s="212">
        <v>7.1900000000000006E-2</v>
      </c>
      <c r="I107" s="212" t="str">
        <f>""</f>
        <v/>
      </c>
      <c r="J107" s="212"/>
      <c r="K107" s="213"/>
      <c r="L107" s="129">
        <v>8000</v>
      </c>
      <c r="M107" s="129">
        <v>12</v>
      </c>
      <c r="N107" s="203">
        <f t="shared" si="12"/>
        <v>5.9069999999999998E-2</v>
      </c>
      <c r="O107" s="203">
        <f t="shared" si="13"/>
        <v>6.8400000000000002E-2</v>
      </c>
      <c r="P107" s="203">
        <f t="shared" si="14"/>
        <v>6.8400000000000002E-2</v>
      </c>
      <c r="Q107" s="203">
        <f t="shared" si="8"/>
        <v>6.8400000000000002E-2</v>
      </c>
      <c r="R107" s="129" t="s">
        <v>211</v>
      </c>
      <c r="S107" s="129" t="str">
        <f>""</f>
        <v/>
      </c>
      <c r="T107" s="129" t="s">
        <v>196</v>
      </c>
      <c r="U107" s="129" t="s">
        <v>197</v>
      </c>
      <c r="V107" s="129" t="s">
        <v>198</v>
      </c>
      <c r="W107" s="129" t="s">
        <v>941</v>
      </c>
      <c r="X107" s="129" t="s">
        <v>143</v>
      </c>
      <c r="Y107" s="129" t="s">
        <v>201</v>
      </c>
      <c r="Z107" s="129" t="s">
        <v>202</v>
      </c>
      <c r="AA107" s="129" t="str">
        <f>IF(Productie_en_afzet!$D$17&gt;=2,"Het vermogen van de gasopwaardeerinstallatie is ≥ 2 MW, er gelden duurzaamheidseisen voor de ingezette biomassa!","")</f>
        <v/>
      </c>
      <c r="AB107" s="129">
        <v>12</v>
      </c>
      <c r="AC107" s="212">
        <f>'PBL OT 2024'!$F$8/POWER(1.02,7)</f>
        <v>4.0232675198946827E-2</v>
      </c>
      <c r="AD107" s="212" t="str">
        <f t="shared" si="7"/>
        <v/>
      </c>
      <c r="AE107" s="212" t="s">
        <v>698</v>
      </c>
      <c r="AF107" s="235">
        <v>13</v>
      </c>
      <c r="AG107" s="129"/>
    </row>
    <row r="108" spans="1:33" ht="15" x14ac:dyDescent="0.25">
      <c r="A108" s="129" t="s">
        <v>954</v>
      </c>
      <c r="B108" s="212">
        <v>7.46E-2</v>
      </c>
      <c r="C108" s="204">
        <v>3.0800000000000001E-2</v>
      </c>
      <c r="D108" s="212"/>
      <c r="E108" s="205">
        <v>4.6199999999999998E-2</v>
      </c>
      <c r="F108" s="205">
        <v>0.1716</v>
      </c>
      <c r="G108" s="245">
        <f t="shared" si="2"/>
        <v>165.5011655011655</v>
      </c>
      <c r="H108" s="212">
        <v>7.1900000000000006E-2</v>
      </c>
      <c r="I108" s="212" t="str">
        <f>""</f>
        <v/>
      </c>
      <c r="J108" s="212"/>
      <c r="K108" s="213"/>
      <c r="L108" s="129">
        <v>8000</v>
      </c>
      <c r="M108" s="129">
        <v>12</v>
      </c>
      <c r="N108" s="203">
        <f t="shared" si="12"/>
        <v>5.9069999999999998E-2</v>
      </c>
      <c r="O108" s="203">
        <f t="shared" si="13"/>
        <v>7.1940000000000004E-2</v>
      </c>
      <c r="P108" s="203">
        <f t="shared" si="14"/>
        <v>7.46E-2</v>
      </c>
      <c r="Q108" s="203">
        <f t="shared" si="8"/>
        <v>7.46E-2</v>
      </c>
      <c r="R108" s="129" t="s">
        <v>211</v>
      </c>
      <c r="S108" s="129" t="str">
        <f>""</f>
        <v/>
      </c>
      <c r="T108" s="129" t="s">
        <v>196</v>
      </c>
      <c r="U108" s="129" t="s">
        <v>197</v>
      </c>
      <c r="V108" s="129" t="s">
        <v>198</v>
      </c>
      <c r="W108" s="129" t="s">
        <v>940</v>
      </c>
      <c r="X108" s="129" t="s">
        <v>143</v>
      </c>
      <c r="Y108" s="129" t="s">
        <v>201</v>
      </c>
      <c r="Z108" s="129" t="s">
        <v>202</v>
      </c>
      <c r="AA108" s="129" t="str">
        <f>IF(Productie_en_afzet!$D$17&gt;=2,"Het vermogen van de gasopwaardeerinstallatie is ≥ 2 MW, er gelden duurzaamheidseisen voor de ingezette biomassa!","")</f>
        <v/>
      </c>
      <c r="AB108" s="129">
        <v>12</v>
      </c>
      <c r="AC108" s="212">
        <f>'PBL OT 2024'!$F$8/POWER(1.02,7)</f>
        <v>4.0232675198946827E-2</v>
      </c>
      <c r="AD108" s="212" t="str">
        <f t="shared" si="7"/>
        <v/>
      </c>
      <c r="AE108" s="212" t="s">
        <v>698</v>
      </c>
      <c r="AF108" s="235">
        <v>13</v>
      </c>
      <c r="AG108" s="129"/>
    </row>
    <row r="109" spans="1:33" ht="15" x14ac:dyDescent="0.25">
      <c r="A109" s="129" t="s">
        <v>936</v>
      </c>
      <c r="B109" s="212">
        <v>9.2799999999999994E-2</v>
      </c>
      <c r="C109" s="204">
        <v>3.0800000000000001E-2</v>
      </c>
      <c r="D109" s="212"/>
      <c r="E109" s="205">
        <v>4.6199999999999998E-2</v>
      </c>
      <c r="F109" s="205">
        <v>0.50480000000000003</v>
      </c>
      <c r="G109" s="245">
        <f t="shared" si="2"/>
        <v>92.313787638668757</v>
      </c>
      <c r="H109" s="212">
        <v>7.1900000000000006E-2</v>
      </c>
      <c r="I109" s="212" t="str">
        <f>""</f>
        <v/>
      </c>
      <c r="J109" s="212"/>
      <c r="K109" s="213"/>
      <c r="L109" s="129">
        <v>8000</v>
      </c>
      <c r="M109" s="129">
        <v>12</v>
      </c>
      <c r="N109" s="203">
        <f t="shared" si="12"/>
        <v>8.4059999999999996E-2</v>
      </c>
      <c r="O109" s="203">
        <f t="shared" si="13"/>
        <v>9.2799999999999994E-2</v>
      </c>
      <c r="P109" s="203">
        <f t="shared" si="14"/>
        <v>9.2799999999999994E-2</v>
      </c>
      <c r="Q109" s="203">
        <f t="shared" si="8"/>
        <v>9.2799999999999994E-2</v>
      </c>
      <c r="R109" s="129" t="s">
        <v>211</v>
      </c>
      <c r="S109" s="129" t="str">
        <f>""</f>
        <v/>
      </c>
      <c r="T109" s="129" t="s">
        <v>196</v>
      </c>
      <c r="U109" s="129" t="s">
        <v>197</v>
      </c>
      <c r="V109" s="129" t="s">
        <v>198</v>
      </c>
      <c r="W109" s="129" t="s">
        <v>941</v>
      </c>
      <c r="X109" s="129" t="s">
        <v>143</v>
      </c>
      <c r="Y109" s="129" t="s">
        <v>201</v>
      </c>
      <c r="Z109" s="129" t="s">
        <v>202</v>
      </c>
      <c r="AA109" s="129" t="str">
        <f>""</f>
        <v/>
      </c>
      <c r="AB109" s="129">
        <v>12</v>
      </c>
      <c r="AC109" s="212">
        <f>'PBL OT 2024'!$F$8/POWER(1.02,7)</f>
        <v>4.0232675198946827E-2</v>
      </c>
      <c r="AD109" s="212" t="str">
        <f t="shared" si="7"/>
        <v/>
      </c>
      <c r="AE109" s="212" t="s">
        <v>698</v>
      </c>
      <c r="AF109" s="235">
        <v>13</v>
      </c>
      <c r="AG109" s="129"/>
    </row>
    <row r="110" spans="1:33" ht="15" x14ac:dyDescent="0.25">
      <c r="A110" s="129" t="s">
        <v>953</v>
      </c>
      <c r="B110" s="212">
        <v>0.10829999999999999</v>
      </c>
      <c r="C110" s="204">
        <v>3.0800000000000001E-2</v>
      </c>
      <c r="D110" s="212"/>
      <c r="E110" s="205">
        <v>4.6199999999999998E-2</v>
      </c>
      <c r="F110" s="205">
        <v>0.50480000000000003</v>
      </c>
      <c r="G110" s="245">
        <f t="shared" si="2"/>
        <v>123.01901743264658</v>
      </c>
      <c r="H110" s="212">
        <v>7.1900000000000006E-2</v>
      </c>
      <c r="I110" s="212" t="str">
        <f>""</f>
        <v/>
      </c>
      <c r="J110" s="212"/>
      <c r="K110" s="213"/>
      <c r="L110" s="129">
        <v>8000</v>
      </c>
      <c r="M110" s="129">
        <v>12</v>
      </c>
      <c r="N110" s="203">
        <f t="shared" si="12"/>
        <v>8.4059999999999996E-2</v>
      </c>
      <c r="O110" s="203">
        <f t="shared" si="13"/>
        <v>0.10829999999999999</v>
      </c>
      <c r="P110" s="203">
        <f t="shared" si="14"/>
        <v>0.10829999999999999</v>
      </c>
      <c r="Q110" s="203">
        <f t="shared" si="8"/>
        <v>0.10829999999999999</v>
      </c>
      <c r="R110" s="129" t="s">
        <v>211</v>
      </c>
      <c r="S110" s="129" t="str">
        <f>""</f>
        <v/>
      </c>
      <c r="T110" s="129" t="s">
        <v>196</v>
      </c>
      <c r="U110" s="129" t="s">
        <v>197</v>
      </c>
      <c r="V110" s="129" t="s">
        <v>198</v>
      </c>
      <c r="W110" s="129" t="s">
        <v>940</v>
      </c>
      <c r="X110" s="129" t="s">
        <v>143</v>
      </c>
      <c r="Y110" s="129" t="s">
        <v>201</v>
      </c>
      <c r="Z110" s="129" t="s">
        <v>202</v>
      </c>
      <c r="AA110" s="129" t="str">
        <f>""</f>
        <v/>
      </c>
      <c r="AB110" s="129">
        <v>12</v>
      </c>
      <c r="AC110" s="212">
        <f>'PBL OT 2024'!$F$8/POWER(1.02,7)</f>
        <v>4.0232675198946827E-2</v>
      </c>
      <c r="AD110" s="212" t="str">
        <f t="shared" si="7"/>
        <v/>
      </c>
      <c r="AE110" s="212" t="s">
        <v>698</v>
      </c>
      <c r="AF110" s="235">
        <v>13</v>
      </c>
      <c r="AG110" s="129"/>
    </row>
    <row r="111" spans="1:33" ht="15" x14ac:dyDescent="0.25">
      <c r="A111" s="129"/>
      <c r="B111" s="212"/>
      <c r="C111" s="205"/>
      <c r="D111" s="212"/>
      <c r="E111" s="205"/>
      <c r="F111" s="205"/>
      <c r="G111" s="245"/>
      <c r="H111" s="212"/>
      <c r="I111" s="212"/>
      <c r="J111" s="212"/>
      <c r="K111" s="212"/>
      <c r="L111" s="129"/>
      <c r="M111" s="129"/>
      <c r="N111" s="203"/>
      <c r="O111" s="203"/>
      <c r="P111" s="203"/>
      <c r="Q111" s="203"/>
      <c r="R111" s="129"/>
      <c r="S111" s="129"/>
      <c r="T111" s="129"/>
      <c r="U111" s="129"/>
      <c r="V111" s="129"/>
      <c r="W111" s="129"/>
      <c r="X111" s="129"/>
      <c r="Y111" s="129"/>
      <c r="Z111" s="129"/>
      <c r="AA111" s="129"/>
      <c r="AB111" s="129"/>
      <c r="AC111" s="240"/>
      <c r="AD111" s="212"/>
      <c r="AE111" s="212"/>
      <c r="AF111" s="236"/>
      <c r="AG111" s="129"/>
    </row>
    <row r="112" spans="1:33" ht="15" x14ac:dyDescent="0.25">
      <c r="A112" s="206" t="s">
        <v>881</v>
      </c>
      <c r="B112" s="213"/>
      <c r="C112" s="205"/>
      <c r="D112" s="212"/>
      <c r="E112" s="205"/>
      <c r="F112" s="205"/>
      <c r="G112" s="245"/>
      <c r="H112" s="212"/>
      <c r="I112" s="212"/>
      <c r="J112" s="212"/>
      <c r="K112" s="212"/>
      <c r="L112" s="129"/>
      <c r="M112" s="129"/>
      <c r="N112" s="203"/>
      <c r="O112" s="203"/>
      <c r="P112" s="203"/>
      <c r="Q112" s="203"/>
      <c r="R112" s="129"/>
      <c r="S112" s="129"/>
      <c r="T112" s="129"/>
      <c r="U112" s="129"/>
      <c r="V112" s="129"/>
      <c r="W112" s="129"/>
      <c r="X112" s="129"/>
      <c r="Y112" s="129"/>
      <c r="Z112" s="129"/>
      <c r="AA112" s="129"/>
      <c r="AB112" s="129"/>
      <c r="AC112" s="240"/>
      <c r="AD112" s="212"/>
      <c r="AE112" s="212"/>
      <c r="AF112" s="236"/>
      <c r="AG112" s="129"/>
    </row>
    <row r="113" spans="1:33" ht="15" x14ac:dyDescent="0.25">
      <c r="A113" s="129" t="s">
        <v>883</v>
      </c>
      <c r="B113" s="213">
        <v>8.7599999999999997E-2</v>
      </c>
      <c r="C113" s="205">
        <v>4.4499999999999998E-2</v>
      </c>
      <c r="D113" s="212"/>
      <c r="E113" s="205">
        <v>6.6600000000000006E-2</v>
      </c>
      <c r="F113" s="205">
        <v>0.22500000000000001</v>
      </c>
      <c r="G113" s="245">
        <f t="shared" si="2"/>
        <v>93.333333333333286</v>
      </c>
      <c r="H113" s="212">
        <v>9.5299999999999996E-2</v>
      </c>
      <c r="I113" s="212" t="str">
        <f>""</f>
        <v/>
      </c>
      <c r="J113" s="212"/>
      <c r="K113" s="212">
        <v>1.9E-3</v>
      </c>
      <c r="L113" s="129">
        <v>7000</v>
      </c>
      <c r="M113" s="129">
        <v>12</v>
      </c>
      <c r="N113" s="203">
        <f>MIN($B113,(75*$F113/1000)+$E113)</f>
        <v>8.3475000000000008E-2</v>
      </c>
      <c r="O113" s="203">
        <f>MIN($B113,(150*$F113/1000)+$E113)</f>
        <v>8.7599999999999997E-2</v>
      </c>
      <c r="P113" s="203">
        <f>MIN($B113,(225*$F113/1000)+$E113)</f>
        <v>8.7599999999999997E-2</v>
      </c>
      <c r="Q113" s="203">
        <f t="shared" si="8"/>
        <v>8.7599999999999997E-2</v>
      </c>
      <c r="R113" s="129" t="s">
        <v>195</v>
      </c>
      <c r="S113" s="129"/>
      <c r="T113" s="129" t="s">
        <v>196</v>
      </c>
      <c r="U113" s="129" t="s">
        <v>197</v>
      </c>
      <c r="V113" s="129" t="s">
        <v>198</v>
      </c>
      <c r="W113" s="129" t="s">
        <v>199</v>
      </c>
      <c r="X113" s="129" t="s">
        <v>206</v>
      </c>
      <c r="Y113" s="129" t="s">
        <v>201</v>
      </c>
      <c r="Z113" s="129" t="s">
        <v>202</v>
      </c>
      <c r="AA113" s="129" t="s">
        <v>215</v>
      </c>
      <c r="AB113" s="129">
        <v>12</v>
      </c>
      <c r="AC113" s="212">
        <f>('PBL OT 2024'!$F$25/POWER(1.02,7)+'PBL OT 2024'!$D$72)/90%</f>
        <v>5.6131549473300332E-2</v>
      </c>
      <c r="AD113" s="212" t="str">
        <f t="shared" si="7"/>
        <v/>
      </c>
      <c r="AE113" s="212" t="s">
        <v>685</v>
      </c>
      <c r="AF113" s="235">
        <v>16</v>
      </c>
      <c r="AG113" s="129"/>
    </row>
    <row r="114" spans="1:33" ht="15" x14ac:dyDescent="0.25">
      <c r="A114" s="129" t="s">
        <v>884</v>
      </c>
      <c r="B114" s="213">
        <v>8.7599999999999997E-2</v>
      </c>
      <c r="C114" s="205">
        <v>4.4499999999999998E-2</v>
      </c>
      <c r="D114" s="212"/>
      <c r="E114" s="205">
        <v>9.4399999999999998E-2</v>
      </c>
      <c r="F114" s="205">
        <v>0.22500000000000001</v>
      </c>
      <c r="G114" s="245">
        <f t="shared" si="2"/>
        <v>-30.222222222222225</v>
      </c>
      <c r="H114" s="212">
        <v>9.5299999999999996E-2</v>
      </c>
      <c r="I114" s="212"/>
      <c r="J114" s="212"/>
      <c r="K114" s="212">
        <v>1.8499999999999999E-2</v>
      </c>
      <c r="L114" s="129">
        <v>7000</v>
      </c>
      <c r="M114" s="129">
        <v>12</v>
      </c>
      <c r="N114" s="203">
        <f t="shared" ref="N114:N129" si="15">MIN($B114,(75*$F114/1000)+$E114)</f>
        <v>8.7599999999999997E-2</v>
      </c>
      <c r="O114" s="203">
        <f t="shared" ref="O114:O129" si="16">MIN($B114,(150*$F114/1000)+$E114)</f>
        <v>8.7599999999999997E-2</v>
      </c>
      <c r="P114" s="203">
        <f t="shared" ref="P114:P129" si="17">MIN($B114,(225*$F114/1000)+$E114)</f>
        <v>8.7599999999999997E-2</v>
      </c>
      <c r="Q114" s="203">
        <f t="shared" si="8"/>
        <v>8.7599999999999997E-2</v>
      </c>
      <c r="R114" s="129" t="s">
        <v>195</v>
      </c>
      <c r="S114" s="129"/>
      <c r="T114" s="129" t="s">
        <v>196</v>
      </c>
      <c r="U114" s="129" t="s">
        <v>197</v>
      </c>
      <c r="V114" s="129" t="s">
        <v>198</v>
      </c>
      <c r="W114" s="129" t="s">
        <v>199</v>
      </c>
      <c r="X114" s="129" t="s">
        <v>206</v>
      </c>
      <c r="Y114" s="129" t="s">
        <v>201</v>
      </c>
      <c r="Z114" s="129" t="s">
        <v>202</v>
      </c>
      <c r="AA114" s="129" t="s">
        <v>215</v>
      </c>
      <c r="AB114" s="129">
        <v>12</v>
      </c>
      <c r="AC114" s="212">
        <f>('PBL OT 2024'!$F$25/POWER(1.02,7)+'PBL OT 2024'!$D$72)/90%</f>
        <v>5.6131549473300332E-2</v>
      </c>
      <c r="AD114" s="212" t="str">
        <f t="shared" si="7"/>
        <v/>
      </c>
      <c r="AE114" s="212" t="s">
        <v>685</v>
      </c>
      <c r="AF114" s="235">
        <v>16</v>
      </c>
      <c r="AG114" s="129"/>
    </row>
    <row r="115" spans="1:33" ht="15" x14ac:dyDescent="0.25">
      <c r="A115" s="129" t="s">
        <v>216</v>
      </c>
      <c r="B115" s="213">
        <v>7.4200000000000002E-2</v>
      </c>
      <c r="C115" s="205">
        <v>4.4499999999999998E-2</v>
      </c>
      <c r="D115" s="212"/>
      <c r="E115" s="205">
        <v>6.3500000000000001E-2</v>
      </c>
      <c r="F115" s="205">
        <v>0.22500000000000001</v>
      </c>
      <c r="G115" s="245">
        <f t="shared" si="2"/>
        <v>47.555555555555557</v>
      </c>
      <c r="H115" s="212">
        <v>9.5299999999999996E-2</v>
      </c>
      <c r="I115" s="212" t="str">
        <f>""</f>
        <v/>
      </c>
      <c r="J115" s="212"/>
      <c r="K115" s="212">
        <v>1.8499999999999999E-2</v>
      </c>
      <c r="L115" s="129">
        <v>3000</v>
      </c>
      <c r="M115" s="129">
        <v>12</v>
      </c>
      <c r="N115" s="203">
        <f t="shared" si="15"/>
        <v>7.4200000000000002E-2</v>
      </c>
      <c r="O115" s="203">
        <f t="shared" si="16"/>
        <v>7.4200000000000002E-2</v>
      </c>
      <c r="P115" s="203">
        <f t="shared" si="17"/>
        <v>7.4200000000000002E-2</v>
      </c>
      <c r="Q115" s="203">
        <f t="shared" si="8"/>
        <v>7.4200000000000002E-2</v>
      </c>
      <c r="R115" s="129" t="s">
        <v>195</v>
      </c>
      <c r="S115" s="129"/>
      <c r="T115" s="129" t="s">
        <v>196</v>
      </c>
      <c r="U115" s="129" t="s">
        <v>197</v>
      </c>
      <c r="V115" s="129" t="s">
        <v>198</v>
      </c>
      <c r="W115" s="129" t="s">
        <v>217</v>
      </c>
      <c r="X115" s="129" t="s">
        <v>206</v>
      </c>
      <c r="Y115" s="129" t="s">
        <v>201</v>
      </c>
      <c r="Z115" s="129" t="s">
        <v>202</v>
      </c>
      <c r="AA115" s="129" t="s">
        <v>209</v>
      </c>
      <c r="AB115" s="129">
        <v>12</v>
      </c>
      <c r="AC115" s="212">
        <f>('PBL OT 2024'!$F$25/POWER(1.02,7)+'PBL OT 2024'!$D$72)/90%</f>
        <v>5.6131549473300332E-2</v>
      </c>
      <c r="AD115" s="212" t="str">
        <f t="shared" si="7"/>
        <v/>
      </c>
      <c r="AE115" s="212" t="s">
        <v>685</v>
      </c>
      <c r="AF115" s="235">
        <v>16</v>
      </c>
      <c r="AG115" s="129"/>
    </row>
    <row r="116" spans="1:33" ht="15" x14ac:dyDescent="0.25">
      <c r="A116" s="129" t="s">
        <v>218</v>
      </c>
      <c r="B116" s="213">
        <v>6.5199999999999994E-2</v>
      </c>
      <c r="C116" s="205">
        <v>2.4E-2</v>
      </c>
      <c r="D116" s="212"/>
      <c r="E116" s="205">
        <v>3.5900000000000001E-2</v>
      </c>
      <c r="F116" s="205">
        <v>0.22500000000000001</v>
      </c>
      <c r="G116" s="245">
        <f t="shared" si="2"/>
        <v>130.2222222222222</v>
      </c>
      <c r="H116" s="212">
        <v>5.6000000000000001E-2</v>
      </c>
      <c r="I116" s="212" t="str">
        <f>""</f>
        <v/>
      </c>
      <c r="J116" s="212"/>
      <c r="K116" s="212">
        <v>1.8499999999999999E-2</v>
      </c>
      <c r="L116" s="129">
        <v>4500</v>
      </c>
      <c r="M116" s="129">
        <v>12</v>
      </c>
      <c r="N116" s="203">
        <f t="shared" si="15"/>
        <v>5.2775000000000002E-2</v>
      </c>
      <c r="O116" s="203">
        <f t="shared" si="16"/>
        <v>6.5199999999999994E-2</v>
      </c>
      <c r="P116" s="203">
        <f t="shared" si="17"/>
        <v>6.5199999999999994E-2</v>
      </c>
      <c r="Q116" s="203">
        <f t="shared" si="8"/>
        <v>6.5199999999999994E-2</v>
      </c>
      <c r="R116" s="129" t="s">
        <v>195</v>
      </c>
      <c r="S116" s="129"/>
      <c r="T116" s="129" t="s">
        <v>196</v>
      </c>
      <c r="U116" s="129" t="s">
        <v>197</v>
      </c>
      <c r="V116" s="129" t="s">
        <v>198</v>
      </c>
      <c r="W116" s="129" t="s">
        <v>217</v>
      </c>
      <c r="X116" s="129" t="s">
        <v>206</v>
      </c>
      <c r="Y116" s="129" t="s">
        <v>201</v>
      </c>
      <c r="Z116" s="129" t="s">
        <v>202</v>
      </c>
      <c r="AA116" s="129"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16" s="129">
        <v>12</v>
      </c>
      <c r="AC116" s="212">
        <f>'PBL OT 2024'!$F$12/POWER(1.02,7)</f>
        <v>3.1295046784292957E-2</v>
      </c>
      <c r="AD116" s="212" t="str">
        <f t="shared" si="7"/>
        <v/>
      </c>
      <c r="AE116" s="212" t="s">
        <v>687</v>
      </c>
      <c r="AF116" s="235">
        <v>17</v>
      </c>
      <c r="AG116" s="129"/>
    </row>
    <row r="117" spans="1:33" ht="15" x14ac:dyDescent="0.25">
      <c r="A117" s="129" t="s">
        <v>219</v>
      </c>
      <c r="B117" s="213">
        <v>6.4100000000000004E-2</v>
      </c>
      <c r="C117" s="205">
        <v>2.4E-2</v>
      </c>
      <c r="D117" s="212"/>
      <c r="E117" s="205">
        <v>3.5900000000000001E-2</v>
      </c>
      <c r="F117" s="205">
        <v>0.22500000000000001</v>
      </c>
      <c r="G117" s="245">
        <f t="shared" si="2"/>
        <v>125.33333333333334</v>
      </c>
      <c r="H117" s="212">
        <v>5.6000000000000001E-2</v>
      </c>
      <c r="I117" s="212" t="str">
        <f>""</f>
        <v/>
      </c>
      <c r="J117" s="212"/>
      <c r="K117" s="212">
        <v>1.8499999999999999E-2</v>
      </c>
      <c r="L117" s="129">
        <v>5000</v>
      </c>
      <c r="M117" s="129">
        <v>12</v>
      </c>
      <c r="N117" s="203">
        <f t="shared" si="15"/>
        <v>5.2775000000000002E-2</v>
      </c>
      <c r="O117" s="203">
        <f t="shared" si="16"/>
        <v>6.4100000000000004E-2</v>
      </c>
      <c r="P117" s="203">
        <f t="shared" si="17"/>
        <v>6.4100000000000004E-2</v>
      </c>
      <c r="Q117" s="203">
        <f t="shared" si="8"/>
        <v>6.4100000000000004E-2</v>
      </c>
      <c r="R117" s="129" t="s">
        <v>195</v>
      </c>
      <c r="S117" s="129"/>
      <c r="T117" s="129" t="s">
        <v>196</v>
      </c>
      <c r="U117" s="129" t="s">
        <v>197</v>
      </c>
      <c r="V117" s="129" t="s">
        <v>198</v>
      </c>
      <c r="W117" s="129" t="s">
        <v>217</v>
      </c>
      <c r="X117" s="129" t="s">
        <v>206</v>
      </c>
      <c r="Y117" s="129" t="s">
        <v>201</v>
      </c>
      <c r="Z117" s="129" t="s">
        <v>202</v>
      </c>
      <c r="AA117" s="129"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17" s="129">
        <v>12</v>
      </c>
      <c r="AC117" s="212">
        <f>'PBL OT 2024'!$F$12/POWER(1.02,7)</f>
        <v>3.1295046784292957E-2</v>
      </c>
      <c r="AD117" s="212" t="str">
        <f t="shared" si="7"/>
        <v/>
      </c>
      <c r="AE117" s="212" t="s">
        <v>687</v>
      </c>
      <c r="AF117" s="235">
        <v>17</v>
      </c>
      <c r="AG117" s="129"/>
    </row>
    <row r="118" spans="1:33" ht="15" x14ac:dyDescent="0.25">
      <c r="A118" s="129" t="s">
        <v>220</v>
      </c>
      <c r="B118" s="213">
        <v>6.2899999999999998E-2</v>
      </c>
      <c r="C118" s="205">
        <v>2.4E-2</v>
      </c>
      <c r="D118" s="212"/>
      <c r="E118" s="205">
        <v>3.5900000000000001E-2</v>
      </c>
      <c r="F118" s="205">
        <v>0.22500000000000001</v>
      </c>
      <c r="G118" s="245">
        <f t="shared" si="2"/>
        <v>119.99999999999999</v>
      </c>
      <c r="H118" s="212">
        <v>5.6000000000000001E-2</v>
      </c>
      <c r="I118" s="212" t="str">
        <f>""</f>
        <v/>
      </c>
      <c r="J118" s="212"/>
      <c r="K118" s="212">
        <v>1.8499999999999999E-2</v>
      </c>
      <c r="L118" s="129">
        <v>5500</v>
      </c>
      <c r="M118" s="129">
        <v>12</v>
      </c>
      <c r="N118" s="203">
        <f t="shared" si="15"/>
        <v>5.2775000000000002E-2</v>
      </c>
      <c r="O118" s="203">
        <f t="shared" si="16"/>
        <v>6.2899999999999998E-2</v>
      </c>
      <c r="P118" s="203">
        <f t="shared" si="17"/>
        <v>6.2899999999999998E-2</v>
      </c>
      <c r="Q118" s="203">
        <f t="shared" si="8"/>
        <v>6.2899999999999998E-2</v>
      </c>
      <c r="R118" s="129" t="s">
        <v>195</v>
      </c>
      <c r="S118" s="129"/>
      <c r="T118" s="129" t="s">
        <v>196</v>
      </c>
      <c r="U118" s="129" t="s">
        <v>197</v>
      </c>
      <c r="V118" s="129" t="s">
        <v>198</v>
      </c>
      <c r="W118" s="129" t="s">
        <v>217</v>
      </c>
      <c r="X118" s="129" t="s">
        <v>206</v>
      </c>
      <c r="Y118" s="129" t="s">
        <v>201</v>
      </c>
      <c r="Z118" s="129" t="s">
        <v>202</v>
      </c>
      <c r="AA118" s="129"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18" s="129">
        <v>12</v>
      </c>
      <c r="AC118" s="212">
        <f>'PBL OT 2024'!$F$12/POWER(1.02,7)</f>
        <v>3.1295046784292957E-2</v>
      </c>
      <c r="AD118" s="212" t="str">
        <f t="shared" si="7"/>
        <v/>
      </c>
      <c r="AE118" s="212" t="s">
        <v>687</v>
      </c>
      <c r="AF118" s="235">
        <v>17</v>
      </c>
      <c r="AG118" s="129"/>
    </row>
    <row r="119" spans="1:33" ht="15" x14ac:dyDescent="0.25">
      <c r="A119" s="129" t="s">
        <v>221</v>
      </c>
      <c r="B119" s="213">
        <v>6.2100000000000002E-2</v>
      </c>
      <c r="C119" s="205">
        <v>2.4E-2</v>
      </c>
      <c r="D119" s="212"/>
      <c r="E119" s="205">
        <v>3.5900000000000001E-2</v>
      </c>
      <c r="F119" s="205">
        <v>0.22500000000000001</v>
      </c>
      <c r="G119" s="245">
        <f t="shared" si="2"/>
        <v>116.44444444444446</v>
      </c>
      <c r="H119" s="212">
        <v>5.6000000000000001E-2</v>
      </c>
      <c r="I119" s="212" t="str">
        <f>""</f>
        <v/>
      </c>
      <c r="J119" s="212"/>
      <c r="K119" s="212">
        <v>1.8499999999999999E-2</v>
      </c>
      <c r="L119" s="129">
        <v>6000</v>
      </c>
      <c r="M119" s="129">
        <v>12</v>
      </c>
      <c r="N119" s="203">
        <f t="shared" si="15"/>
        <v>5.2775000000000002E-2</v>
      </c>
      <c r="O119" s="203">
        <f t="shared" si="16"/>
        <v>6.2100000000000002E-2</v>
      </c>
      <c r="P119" s="203">
        <f t="shared" si="17"/>
        <v>6.2100000000000002E-2</v>
      </c>
      <c r="Q119" s="203">
        <f t="shared" si="8"/>
        <v>6.2100000000000002E-2</v>
      </c>
      <c r="R119" s="129" t="s">
        <v>195</v>
      </c>
      <c r="S119" s="129"/>
      <c r="T119" s="129" t="s">
        <v>196</v>
      </c>
      <c r="U119" s="129" t="s">
        <v>197</v>
      </c>
      <c r="V119" s="129" t="s">
        <v>198</v>
      </c>
      <c r="W119" s="129" t="s">
        <v>217</v>
      </c>
      <c r="X119" s="129" t="s">
        <v>206</v>
      </c>
      <c r="Y119" s="129" t="s">
        <v>201</v>
      </c>
      <c r="Z119" s="129" t="s">
        <v>202</v>
      </c>
      <c r="AA119" s="129"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19" s="129">
        <v>12</v>
      </c>
      <c r="AC119" s="212">
        <f>'PBL OT 2024'!$F$12/POWER(1.02,7)</f>
        <v>3.1295046784292957E-2</v>
      </c>
      <c r="AD119" s="212" t="str">
        <f t="shared" si="7"/>
        <v/>
      </c>
      <c r="AE119" s="212" t="s">
        <v>687</v>
      </c>
      <c r="AF119" s="235">
        <v>17</v>
      </c>
      <c r="AG119" s="129"/>
    </row>
    <row r="120" spans="1:33" ht="15" x14ac:dyDescent="0.25">
      <c r="A120" s="129" t="s">
        <v>222</v>
      </c>
      <c r="B120" s="213">
        <v>6.1199999999999997E-2</v>
      </c>
      <c r="C120" s="205">
        <v>2.4E-2</v>
      </c>
      <c r="D120" s="212"/>
      <c r="E120" s="205">
        <v>3.5900000000000001E-2</v>
      </c>
      <c r="F120" s="205">
        <v>0.22500000000000001</v>
      </c>
      <c r="G120" s="245">
        <f t="shared" si="2"/>
        <v>112.44444444444443</v>
      </c>
      <c r="H120" s="212">
        <v>5.6000000000000001E-2</v>
      </c>
      <c r="I120" s="212" t="str">
        <f>""</f>
        <v/>
      </c>
      <c r="J120" s="212"/>
      <c r="K120" s="212">
        <v>1.8499999999999999E-2</v>
      </c>
      <c r="L120" s="129">
        <v>6500</v>
      </c>
      <c r="M120" s="129">
        <v>12</v>
      </c>
      <c r="N120" s="203">
        <f t="shared" si="15"/>
        <v>5.2775000000000002E-2</v>
      </c>
      <c r="O120" s="203">
        <f t="shared" si="16"/>
        <v>6.1199999999999997E-2</v>
      </c>
      <c r="P120" s="203">
        <f t="shared" si="17"/>
        <v>6.1199999999999997E-2</v>
      </c>
      <c r="Q120" s="203">
        <f t="shared" si="8"/>
        <v>6.1199999999999997E-2</v>
      </c>
      <c r="R120" s="129" t="s">
        <v>195</v>
      </c>
      <c r="S120" s="129"/>
      <c r="T120" s="129" t="s">
        <v>196</v>
      </c>
      <c r="U120" s="129" t="s">
        <v>197</v>
      </c>
      <c r="V120" s="129" t="s">
        <v>198</v>
      </c>
      <c r="W120" s="129" t="s">
        <v>217</v>
      </c>
      <c r="X120" s="129" t="s">
        <v>206</v>
      </c>
      <c r="Y120" s="129" t="s">
        <v>201</v>
      </c>
      <c r="Z120" s="129" t="s">
        <v>202</v>
      </c>
      <c r="AA120" s="129"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0" s="129">
        <v>12</v>
      </c>
      <c r="AC120" s="212">
        <f>'PBL OT 2024'!$F$12/POWER(1.02,7)</f>
        <v>3.1295046784292957E-2</v>
      </c>
      <c r="AD120" s="212" t="str">
        <f t="shared" si="7"/>
        <v/>
      </c>
      <c r="AE120" s="212" t="s">
        <v>687</v>
      </c>
      <c r="AF120" s="235">
        <v>17</v>
      </c>
      <c r="AG120" s="129"/>
    </row>
    <row r="121" spans="1:33" ht="15" x14ac:dyDescent="0.25">
      <c r="A121" s="129" t="s">
        <v>223</v>
      </c>
      <c r="B121" s="213">
        <v>6.0600000000000001E-2</v>
      </c>
      <c r="C121" s="205">
        <v>2.4E-2</v>
      </c>
      <c r="D121" s="212"/>
      <c r="E121" s="205">
        <v>3.5900000000000001E-2</v>
      </c>
      <c r="F121" s="205">
        <v>0.22500000000000001</v>
      </c>
      <c r="G121" s="245">
        <f t="shared" si="2"/>
        <v>109.77777777777777</v>
      </c>
      <c r="H121" s="212">
        <v>5.6000000000000001E-2</v>
      </c>
      <c r="I121" s="212" t="str">
        <f>""</f>
        <v/>
      </c>
      <c r="J121" s="212"/>
      <c r="K121" s="212">
        <v>1.8499999999999999E-2</v>
      </c>
      <c r="L121" s="129">
        <v>7000</v>
      </c>
      <c r="M121" s="129">
        <v>12</v>
      </c>
      <c r="N121" s="203">
        <f t="shared" si="15"/>
        <v>5.2775000000000002E-2</v>
      </c>
      <c r="O121" s="203">
        <f t="shared" si="16"/>
        <v>6.0600000000000001E-2</v>
      </c>
      <c r="P121" s="203">
        <f t="shared" si="17"/>
        <v>6.0600000000000001E-2</v>
      </c>
      <c r="Q121" s="203">
        <f t="shared" si="8"/>
        <v>6.0600000000000001E-2</v>
      </c>
      <c r="R121" s="129" t="s">
        <v>195</v>
      </c>
      <c r="S121" s="129"/>
      <c r="T121" s="129" t="s">
        <v>196</v>
      </c>
      <c r="U121" s="129" t="s">
        <v>197</v>
      </c>
      <c r="V121" s="129" t="s">
        <v>198</v>
      </c>
      <c r="W121" s="129" t="s">
        <v>217</v>
      </c>
      <c r="X121" s="129" t="s">
        <v>206</v>
      </c>
      <c r="Y121" s="129" t="s">
        <v>201</v>
      </c>
      <c r="Z121" s="129" t="s">
        <v>202</v>
      </c>
      <c r="AA121" s="129"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1" s="129">
        <v>12</v>
      </c>
      <c r="AC121" s="212">
        <f>'PBL OT 2024'!$F$12/POWER(1.02,7)</f>
        <v>3.1295046784292957E-2</v>
      </c>
      <c r="AD121" s="212" t="str">
        <f t="shared" si="7"/>
        <v/>
      </c>
      <c r="AE121" s="212" t="s">
        <v>687</v>
      </c>
      <c r="AF121" s="235">
        <v>17</v>
      </c>
      <c r="AG121" s="129"/>
    </row>
    <row r="122" spans="1:33" ht="15" x14ac:dyDescent="0.25">
      <c r="A122" s="129" t="s">
        <v>224</v>
      </c>
      <c r="B122" s="213">
        <v>6.0299999999999999E-2</v>
      </c>
      <c r="C122" s="205">
        <v>2.4E-2</v>
      </c>
      <c r="D122" s="212"/>
      <c r="E122" s="205">
        <v>3.5900000000000001E-2</v>
      </c>
      <c r="F122" s="205">
        <v>0.22500000000000001</v>
      </c>
      <c r="G122" s="245">
        <f t="shared" si="2"/>
        <v>108.44444444444443</v>
      </c>
      <c r="H122" s="212">
        <v>5.6000000000000001E-2</v>
      </c>
      <c r="I122" s="212" t="str">
        <f>""</f>
        <v/>
      </c>
      <c r="J122" s="212"/>
      <c r="K122" s="212">
        <v>1.8499999999999999E-2</v>
      </c>
      <c r="L122" s="129">
        <v>7500</v>
      </c>
      <c r="M122" s="129">
        <v>12</v>
      </c>
      <c r="N122" s="203">
        <f t="shared" si="15"/>
        <v>5.2775000000000002E-2</v>
      </c>
      <c r="O122" s="203">
        <f t="shared" si="16"/>
        <v>6.0299999999999999E-2</v>
      </c>
      <c r="P122" s="203">
        <f t="shared" si="17"/>
        <v>6.0299999999999999E-2</v>
      </c>
      <c r="Q122" s="203">
        <f t="shared" si="8"/>
        <v>6.0299999999999999E-2</v>
      </c>
      <c r="R122" s="129" t="s">
        <v>195</v>
      </c>
      <c r="S122" s="129"/>
      <c r="T122" s="129" t="s">
        <v>196</v>
      </c>
      <c r="U122" s="129" t="s">
        <v>197</v>
      </c>
      <c r="V122" s="129" t="s">
        <v>198</v>
      </c>
      <c r="W122" s="129" t="s">
        <v>217</v>
      </c>
      <c r="X122" s="129" t="s">
        <v>206</v>
      </c>
      <c r="Y122" s="129" t="s">
        <v>201</v>
      </c>
      <c r="Z122" s="129" t="s">
        <v>202</v>
      </c>
      <c r="AA122" s="129"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2" s="129">
        <v>12</v>
      </c>
      <c r="AC122" s="212">
        <f>'PBL OT 2024'!$F$12/POWER(1.02,7)</f>
        <v>3.1295046784292957E-2</v>
      </c>
      <c r="AD122" s="212" t="str">
        <f t="shared" si="7"/>
        <v/>
      </c>
      <c r="AE122" s="212" t="s">
        <v>687</v>
      </c>
      <c r="AF122" s="235">
        <v>17</v>
      </c>
      <c r="AG122" s="129"/>
    </row>
    <row r="123" spans="1:33" ht="15" x14ac:dyDescent="0.25">
      <c r="A123" s="129" t="s">
        <v>225</v>
      </c>
      <c r="B123" s="213">
        <v>5.9700000000000003E-2</v>
      </c>
      <c r="C123" s="205">
        <v>2.4E-2</v>
      </c>
      <c r="D123" s="212"/>
      <c r="E123" s="205">
        <v>3.5900000000000001E-2</v>
      </c>
      <c r="F123" s="205">
        <v>0.22500000000000001</v>
      </c>
      <c r="G123" s="245">
        <f t="shared" si="2"/>
        <v>105.77777777777777</v>
      </c>
      <c r="H123" s="212">
        <v>5.6000000000000001E-2</v>
      </c>
      <c r="I123" s="212" t="str">
        <f>""</f>
        <v/>
      </c>
      <c r="J123" s="212"/>
      <c r="K123" s="212">
        <v>1.8499999999999999E-2</v>
      </c>
      <c r="L123" s="129">
        <v>8000</v>
      </c>
      <c r="M123" s="129">
        <v>12</v>
      </c>
      <c r="N123" s="203">
        <f t="shared" si="15"/>
        <v>5.2775000000000002E-2</v>
      </c>
      <c r="O123" s="203">
        <f t="shared" si="16"/>
        <v>5.9700000000000003E-2</v>
      </c>
      <c r="P123" s="203">
        <f t="shared" si="17"/>
        <v>5.9700000000000003E-2</v>
      </c>
      <c r="Q123" s="203">
        <f t="shared" si="8"/>
        <v>5.9700000000000003E-2</v>
      </c>
      <c r="R123" s="129" t="s">
        <v>195</v>
      </c>
      <c r="S123" s="129"/>
      <c r="T123" s="129" t="s">
        <v>196</v>
      </c>
      <c r="U123" s="129" t="s">
        <v>197</v>
      </c>
      <c r="V123" s="129" t="s">
        <v>198</v>
      </c>
      <c r="W123" s="129" t="s">
        <v>217</v>
      </c>
      <c r="X123" s="129" t="s">
        <v>206</v>
      </c>
      <c r="Y123" s="129" t="s">
        <v>201</v>
      </c>
      <c r="Z123" s="129" t="s">
        <v>202</v>
      </c>
      <c r="AA123" s="129"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3" s="129">
        <v>12</v>
      </c>
      <c r="AC123" s="212">
        <f>'PBL OT 2024'!$F$12/POWER(1.02,7)</f>
        <v>3.1295046784292957E-2</v>
      </c>
      <c r="AD123" s="212" t="str">
        <f t="shared" si="7"/>
        <v/>
      </c>
      <c r="AE123" s="212" t="s">
        <v>687</v>
      </c>
      <c r="AF123" s="235">
        <v>17</v>
      </c>
      <c r="AG123" s="129"/>
    </row>
    <row r="124" spans="1:33" ht="15" x14ac:dyDescent="0.25">
      <c r="A124" s="129" t="s">
        <v>226</v>
      </c>
      <c r="B124" s="213">
        <v>5.9200000000000003E-2</v>
      </c>
      <c r="C124" s="205">
        <v>2.4E-2</v>
      </c>
      <c r="D124" s="212"/>
      <c r="E124" s="205">
        <v>3.5900000000000001E-2</v>
      </c>
      <c r="F124" s="205">
        <v>0.22500000000000001</v>
      </c>
      <c r="G124" s="245">
        <f t="shared" si="2"/>
        <v>103.55555555555556</v>
      </c>
      <c r="H124" s="212">
        <v>5.6000000000000001E-2</v>
      </c>
      <c r="I124" s="212" t="str">
        <f>""</f>
        <v/>
      </c>
      <c r="J124" s="212"/>
      <c r="K124" s="212">
        <v>1.8499999999999999E-2</v>
      </c>
      <c r="L124" s="129">
        <v>8500</v>
      </c>
      <c r="M124" s="129">
        <v>12</v>
      </c>
      <c r="N124" s="203">
        <f t="shared" si="15"/>
        <v>5.2775000000000002E-2</v>
      </c>
      <c r="O124" s="203">
        <f t="shared" si="16"/>
        <v>5.9200000000000003E-2</v>
      </c>
      <c r="P124" s="203">
        <f t="shared" si="17"/>
        <v>5.9200000000000003E-2</v>
      </c>
      <c r="Q124" s="203">
        <f t="shared" si="8"/>
        <v>5.9200000000000003E-2</v>
      </c>
      <c r="R124" s="129" t="s">
        <v>195</v>
      </c>
      <c r="S124" s="129"/>
      <c r="T124" s="129" t="s">
        <v>196</v>
      </c>
      <c r="U124" s="129" t="s">
        <v>197</v>
      </c>
      <c r="V124" s="129" t="s">
        <v>198</v>
      </c>
      <c r="W124" s="129" t="s">
        <v>217</v>
      </c>
      <c r="X124" s="129" t="s">
        <v>206</v>
      </c>
      <c r="Y124" s="129" t="s">
        <v>201</v>
      </c>
      <c r="Z124" s="129" t="s">
        <v>202</v>
      </c>
      <c r="AA124" s="129"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4" s="129">
        <v>12</v>
      </c>
      <c r="AC124" s="212">
        <f>'PBL OT 2024'!$F$12/POWER(1.02,7)</f>
        <v>3.1295046784292957E-2</v>
      </c>
      <c r="AD124" s="212" t="str">
        <f t="shared" si="7"/>
        <v/>
      </c>
      <c r="AE124" s="212" t="s">
        <v>687</v>
      </c>
      <c r="AF124" s="235">
        <v>17</v>
      </c>
      <c r="AG124" s="129"/>
    </row>
    <row r="125" spans="1:33" ht="15" x14ac:dyDescent="0.25">
      <c r="A125" s="129" t="s">
        <v>227</v>
      </c>
      <c r="B125" s="213">
        <v>3.78E-2</v>
      </c>
      <c r="C125" s="205">
        <v>2.4E-2</v>
      </c>
      <c r="D125" s="212"/>
      <c r="E125" s="205">
        <v>3.5900000000000001E-2</v>
      </c>
      <c r="F125" s="205">
        <v>0.22500000000000001</v>
      </c>
      <c r="G125" s="245">
        <f t="shared" si="2"/>
        <v>8.4444444444444393</v>
      </c>
      <c r="H125" s="212">
        <v>5.6000000000000001E-2</v>
      </c>
      <c r="I125" s="212" t="str">
        <f>""</f>
        <v/>
      </c>
      <c r="J125" s="212"/>
      <c r="K125" s="212">
        <v>1.8499999999999999E-2</v>
      </c>
      <c r="L125" s="129">
        <v>7500</v>
      </c>
      <c r="M125" s="129">
        <v>12</v>
      </c>
      <c r="N125" s="203">
        <f t="shared" si="15"/>
        <v>3.78E-2</v>
      </c>
      <c r="O125" s="203">
        <f t="shared" si="16"/>
        <v>3.78E-2</v>
      </c>
      <c r="P125" s="203">
        <f t="shared" si="17"/>
        <v>3.78E-2</v>
      </c>
      <c r="Q125" s="203">
        <f t="shared" si="8"/>
        <v>3.78E-2</v>
      </c>
      <c r="R125" s="129" t="s">
        <v>195</v>
      </c>
      <c r="S125" s="129"/>
      <c r="T125" s="129" t="s">
        <v>196</v>
      </c>
      <c r="U125" s="129" t="s">
        <v>197</v>
      </c>
      <c r="V125" s="129" t="s">
        <v>198</v>
      </c>
      <c r="W125" s="129" t="s">
        <v>217</v>
      </c>
      <c r="X125" s="129" t="s">
        <v>206</v>
      </c>
      <c r="Y125" s="129" t="s">
        <v>201</v>
      </c>
      <c r="Z125" s="129" t="s">
        <v>202</v>
      </c>
      <c r="AA125" s="129" t="str">
        <f>IF(Productie_en_afzet!$D$17&gt;=15,"De ingezette brandstof moet voor ten minste 97% van de energetische waarde biogeen zijn! Daarnaast gelden voor installaties met een nominaal thermisch ingangsvermogen ≥ 20 MW  duurzaamheidseisen voor de ingezette biomassa!","Voor deze categorie geldt dat de ingezette brandstof voor ten minste 97% van de energetische waarde biogeen is!")</f>
        <v>Voor deze categorie geldt dat de ingezette brandstof voor ten minste 97% van de energetische waarde biogeen is!</v>
      </c>
      <c r="AB125" s="129">
        <v>12</v>
      </c>
      <c r="AC125" s="212">
        <f>'PBL OT 2024'!$F$12/POWER(1.02,7)</f>
        <v>3.1295046784292957E-2</v>
      </c>
      <c r="AD125" s="212" t="str">
        <f t="shared" si="7"/>
        <v/>
      </c>
      <c r="AE125" s="212" t="s">
        <v>687</v>
      </c>
      <c r="AF125" s="235">
        <v>17</v>
      </c>
      <c r="AG125" s="129"/>
    </row>
    <row r="126" spans="1:33" ht="15" x14ac:dyDescent="0.25">
      <c r="A126" s="129" t="s">
        <v>507</v>
      </c>
      <c r="B126" s="213">
        <v>8.9499999999999996E-2</v>
      </c>
      <c r="C126" s="205">
        <v>2.4E-2</v>
      </c>
      <c r="D126" s="212"/>
      <c r="E126" s="205">
        <v>6.6799999999999998E-2</v>
      </c>
      <c r="F126" s="205">
        <v>0.22500000000000001</v>
      </c>
      <c r="G126" s="245">
        <f t="shared" si="2"/>
        <v>100.88888888888889</v>
      </c>
      <c r="H126" s="212">
        <v>5.6000000000000001E-2</v>
      </c>
      <c r="I126" s="212" t="str">
        <f>""</f>
        <v/>
      </c>
      <c r="J126" s="212"/>
      <c r="K126" s="212">
        <v>1.8499999999999999E-2</v>
      </c>
      <c r="L126" s="129">
        <v>8500</v>
      </c>
      <c r="M126" s="129">
        <v>12</v>
      </c>
      <c r="N126" s="203">
        <f t="shared" si="15"/>
        <v>8.3674999999999999E-2</v>
      </c>
      <c r="O126" s="203">
        <f t="shared" si="16"/>
        <v>8.9499999999999996E-2</v>
      </c>
      <c r="P126" s="203">
        <f t="shared" si="17"/>
        <v>8.9499999999999996E-2</v>
      </c>
      <c r="Q126" s="203">
        <f t="shared" si="8"/>
        <v>8.9499999999999996E-2</v>
      </c>
      <c r="R126" s="129" t="s">
        <v>195</v>
      </c>
      <c r="S126" s="129"/>
      <c r="T126" s="129" t="s">
        <v>196</v>
      </c>
      <c r="U126" s="129" t="s">
        <v>197</v>
      </c>
      <c r="V126" s="129" t="s">
        <v>198</v>
      </c>
      <c r="W126" s="129" t="s">
        <v>199</v>
      </c>
      <c r="X126" s="129" t="s">
        <v>206</v>
      </c>
      <c r="Y126" s="129" t="s">
        <v>201</v>
      </c>
      <c r="Z126" s="129" t="s">
        <v>202</v>
      </c>
      <c r="AA126" s="129" t="s">
        <v>228</v>
      </c>
      <c r="AB126" s="129">
        <v>12</v>
      </c>
      <c r="AC126" s="212">
        <f>'PBL OT 2024'!$F$12/POWER(1.02,7)</f>
        <v>3.1295046784292957E-2</v>
      </c>
      <c r="AD126" s="212" t="str">
        <f t="shared" si="7"/>
        <v/>
      </c>
      <c r="AE126" s="212" t="s">
        <v>687</v>
      </c>
      <c r="AF126" s="235">
        <v>17</v>
      </c>
      <c r="AG126" s="129"/>
    </row>
    <row r="127" spans="1:33" ht="15" x14ac:dyDescent="0.25">
      <c r="A127" s="129" t="s">
        <v>508</v>
      </c>
      <c r="B127" s="213">
        <v>0.105</v>
      </c>
      <c r="C127" s="205">
        <v>2.4E-2</v>
      </c>
      <c r="D127" s="212"/>
      <c r="E127" s="205">
        <v>6.6799999999999998E-2</v>
      </c>
      <c r="F127" s="205">
        <v>0.22500000000000001</v>
      </c>
      <c r="G127" s="245">
        <f t="shared" si="2"/>
        <v>169.77777777777774</v>
      </c>
      <c r="H127" s="212">
        <v>5.6000000000000001E-2</v>
      </c>
      <c r="I127" s="212"/>
      <c r="J127" s="212"/>
      <c r="K127" s="212">
        <v>1.8499999999999999E-2</v>
      </c>
      <c r="L127" s="129">
        <v>8500</v>
      </c>
      <c r="M127" s="129">
        <v>12</v>
      </c>
      <c r="N127" s="203">
        <f t="shared" si="15"/>
        <v>8.3674999999999999E-2</v>
      </c>
      <c r="O127" s="203">
        <f t="shared" si="16"/>
        <v>0.10055</v>
      </c>
      <c r="P127" s="203">
        <f t="shared" si="17"/>
        <v>0.105</v>
      </c>
      <c r="Q127" s="203">
        <f t="shared" si="8"/>
        <v>0.105</v>
      </c>
      <c r="R127" s="129" t="s">
        <v>195</v>
      </c>
      <c r="S127" s="129"/>
      <c r="T127" s="129" t="s">
        <v>196</v>
      </c>
      <c r="U127" s="129" t="s">
        <v>197</v>
      </c>
      <c r="V127" s="129" t="s">
        <v>198</v>
      </c>
      <c r="W127" s="129" t="s">
        <v>199</v>
      </c>
      <c r="X127" s="129" t="s">
        <v>206</v>
      </c>
      <c r="Y127" s="129" t="s">
        <v>201</v>
      </c>
      <c r="Z127" s="129" t="s">
        <v>202</v>
      </c>
      <c r="AA127" s="129" t="s">
        <v>228</v>
      </c>
      <c r="AB127" s="129">
        <v>12</v>
      </c>
      <c r="AC127" s="212">
        <f>'PBL OT 2024'!$F$12/POWER(1.02,7)</f>
        <v>3.1295046784292957E-2</v>
      </c>
      <c r="AD127" s="212" t="str">
        <f t="shared" si="7"/>
        <v/>
      </c>
      <c r="AE127" s="212" t="s">
        <v>687</v>
      </c>
      <c r="AF127" s="235">
        <v>17</v>
      </c>
      <c r="AG127" s="129"/>
    </row>
    <row r="128" spans="1:33" ht="15" x14ac:dyDescent="0.25">
      <c r="A128" s="129" t="s">
        <v>882</v>
      </c>
      <c r="B128" s="213">
        <v>6.8400000000000002E-2</v>
      </c>
      <c r="C128" s="205">
        <v>0.04</v>
      </c>
      <c r="D128" s="212"/>
      <c r="E128" s="205">
        <v>8.8099999999999998E-2</v>
      </c>
      <c r="F128" s="205">
        <v>0.22500000000000001</v>
      </c>
      <c r="G128" s="245">
        <f t="shared" si="2"/>
        <v>-87.555555555555529</v>
      </c>
      <c r="H128" s="212">
        <v>8.5800000000000001E-2</v>
      </c>
      <c r="I128" s="212" t="str">
        <f>""</f>
        <v/>
      </c>
      <c r="J128" s="212"/>
      <c r="K128" s="212">
        <v>1.8499999999999999E-2</v>
      </c>
      <c r="L128" s="129">
        <v>3000</v>
      </c>
      <c r="M128" s="129">
        <v>12</v>
      </c>
      <c r="N128" s="203">
        <f t="shared" si="15"/>
        <v>6.8400000000000002E-2</v>
      </c>
      <c r="O128" s="203">
        <f t="shared" si="16"/>
        <v>6.8400000000000002E-2</v>
      </c>
      <c r="P128" s="203">
        <f t="shared" si="17"/>
        <v>6.8400000000000002E-2</v>
      </c>
      <c r="Q128" s="203">
        <f t="shared" si="8"/>
        <v>6.8400000000000002E-2</v>
      </c>
      <c r="R128" s="129" t="s">
        <v>195</v>
      </c>
      <c r="S128" s="129"/>
      <c r="T128" s="129" t="s">
        <v>196</v>
      </c>
      <c r="U128" s="129" t="s">
        <v>197</v>
      </c>
      <c r="V128" s="129" t="s">
        <v>198</v>
      </c>
      <c r="W128" s="129" t="s">
        <v>199</v>
      </c>
      <c r="X128" s="129" t="s">
        <v>206</v>
      </c>
      <c r="Y128" s="129" t="s">
        <v>201</v>
      </c>
      <c r="Z128" s="129" t="s">
        <v>202</v>
      </c>
      <c r="AA128" s="129" t="s">
        <v>228</v>
      </c>
      <c r="AB128" s="129">
        <v>12</v>
      </c>
      <c r="AC128" s="212">
        <f>'PBL OT 2024'!$F$25/POWER(1.02,7)+'PBL OT 2024'!$D$72</f>
        <v>5.0518394525970303E-2</v>
      </c>
      <c r="AD128" s="212" t="str">
        <f t="shared" si="7"/>
        <v/>
      </c>
      <c r="AE128" s="212" t="s">
        <v>686</v>
      </c>
      <c r="AF128" s="235">
        <v>20</v>
      </c>
      <c r="AG128" s="129"/>
    </row>
    <row r="129" spans="1:33" ht="15" x14ac:dyDescent="0.25">
      <c r="A129" s="129" t="s">
        <v>937</v>
      </c>
      <c r="B129" s="213">
        <v>4.5199999999999997E-2</v>
      </c>
      <c r="C129" s="205">
        <v>2.4E-2</v>
      </c>
      <c r="D129" s="212"/>
      <c r="E129" s="205">
        <v>3.5900000000000001E-2</v>
      </c>
      <c r="F129" s="205">
        <v>0.22500000000000001</v>
      </c>
      <c r="G129" s="245">
        <f t="shared" si="2"/>
        <v>41.333333333333314</v>
      </c>
      <c r="H129" s="212">
        <v>5.6000000000000001E-2</v>
      </c>
      <c r="I129" s="212" t="str">
        <f>""</f>
        <v/>
      </c>
      <c r="J129" s="212"/>
      <c r="K129" s="212">
        <v>1.8499999999999999E-2</v>
      </c>
      <c r="L129" s="129">
        <v>8000</v>
      </c>
      <c r="M129" s="129">
        <v>12</v>
      </c>
      <c r="N129" s="203">
        <f t="shared" si="15"/>
        <v>4.5199999999999997E-2</v>
      </c>
      <c r="O129" s="203">
        <f t="shared" si="16"/>
        <v>4.5199999999999997E-2</v>
      </c>
      <c r="P129" s="203">
        <f t="shared" si="17"/>
        <v>4.5199999999999997E-2</v>
      </c>
      <c r="Q129" s="203">
        <f t="shared" si="8"/>
        <v>4.5199999999999997E-2</v>
      </c>
      <c r="R129" s="129" t="s">
        <v>195</v>
      </c>
      <c r="S129" s="129"/>
      <c r="T129" s="129" t="s">
        <v>196</v>
      </c>
      <c r="U129" s="129" t="s">
        <v>197</v>
      </c>
      <c r="V129" s="129" t="s">
        <v>198</v>
      </c>
      <c r="W129" s="129" t="s">
        <v>945</v>
      </c>
      <c r="X129" s="129" t="s">
        <v>206</v>
      </c>
      <c r="Y129" s="129" t="s">
        <v>201</v>
      </c>
      <c r="Z129" s="129" t="s">
        <v>202</v>
      </c>
      <c r="AA129" s="129" t="s">
        <v>209</v>
      </c>
      <c r="AB129" s="129">
        <v>12</v>
      </c>
      <c r="AC129" s="212">
        <f>'PBL OT 2024'!$F$12/POWER(1.02,7)</f>
        <v>3.1295046784292957E-2</v>
      </c>
      <c r="AD129" s="212" t="str">
        <f t="shared" si="7"/>
        <v/>
      </c>
      <c r="AE129" s="212" t="s">
        <v>687</v>
      </c>
      <c r="AF129" s="235">
        <v>17</v>
      </c>
      <c r="AG129" s="129"/>
    </row>
    <row r="130" spans="1:33" ht="15" x14ac:dyDescent="0.25">
      <c r="A130" s="129"/>
      <c r="B130" s="213"/>
      <c r="C130" s="205"/>
      <c r="D130" s="212"/>
      <c r="E130" s="205"/>
      <c r="F130" s="205"/>
      <c r="G130" s="245"/>
      <c r="H130" s="212"/>
      <c r="I130" s="212"/>
      <c r="J130" s="212"/>
      <c r="K130" s="212"/>
      <c r="L130" s="129"/>
      <c r="M130" s="129"/>
      <c r="N130" s="203"/>
      <c r="O130" s="203"/>
      <c r="P130" s="203"/>
      <c r="Q130" s="203"/>
      <c r="R130" s="129"/>
      <c r="S130" s="129"/>
      <c r="T130" s="129"/>
      <c r="U130" s="129"/>
      <c r="V130" s="129"/>
      <c r="W130" s="129"/>
      <c r="X130" s="129"/>
      <c r="Y130" s="129"/>
      <c r="Z130" s="129"/>
      <c r="AA130" s="129"/>
      <c r="AB130" s="129"/>
      <c r="AC130" s="240"/>
      <c r="AD130" s="212"/>
      <c r="AE130" s="212"/>
      <c r="AF130" s="236"/>
      <c r="AG130" s="129"/>
    </row>
    <row r="131" spans="1:33" ht="15" x14ac:dyDescent="0.25">
      <c r="A131" s="206" t="s">
        <v>229</v>
      </c>
      <c r="B131" s="215"/>
      <c r="C131" s="205"/>
      <c r="D131" s="212"/>
      <c r="E131" s="205"/>
      <c r="F131" s="205"/>
      <c r="G131" s="245"/>
      <c r="H131" s="212"/>
      <c r="I131" s="212"/>
      <c r="J131" s="212"/>
      <c r="K131" s="212"/>
      <c r="L131" s="129"/>
      <c r="M131" s="129"/>
      <c r="N131" s="203"/>
      <c r="O131" s="203"/>
      <c r="P131" s="203"/>
      <c r="Q131" s="203"/>
      <c r="R131" s="129"/>
      <c r="S131" s="129"/>
      <c r="T131" s="129"/>
      <c r="U131" s="129"/>
      <c r="V131" s="129"/>
      <c r="W131" s="129"/>
      <c r="X131" s="129"/>
      <c r="Y131" s="129"/>
      <c r="Z131" s="129"/>
      <c r="AA131" s="129"/>
      <c r="AB131" s="129"/>
      <c r="AC131" s="240"/>
      <c r="AD131" s="212"/>
      <c r="AE131" s="212"/>
      <c r="AF131" s="236"/>
      <c r="AG131" s="129"/>
    </row>
    <row r="132" spans="1:33" ht="15" x14ac:dyDescent="0.25">
      <c r="A132" s="129" t="s">
        <v>230</v>
      </c>
      <c r="B132" s="213">
        <v>8.6199999999999999E-2</v>
      </c>
      <c r="C132" s="205">
        <v>2.4E-2</v>
      </c>
      <c r="D132" s="212"/>
      <c r="E132" s="205">
        <v>3.5900000000000001E-2</v>
      </c>
      <c r="F132" s="205">
        <v>0.37969999999999998</v>
      </c>
      <c r="G132" s="245">
        <f t="shared" si="2"/>
        <v>132.47300500395048</v>
      </c>
      <c r="H132" s="212">
        <v>5.6000000000000001E-2</v>
      </c>
      <c r="I132" s="212" t="str">
        <f>""</f>
        <v/>
      </c>
      <c r="J132" s="212"/>
      <c r="K132" s="212">
        <v>4.0000000000000002E-4</v>
      </c>
      <c r="L132" s="129">
        <v>6000</v>
      </c>
      <c r="M132" s="129">
        <v>15</v>
      </c>
      <c r="N132" s="203">
        <f>MIN($B132,(75*$F132/1000)+$E132)</f>
        <v>6.4377500000000004E-2</v>
      </c>
      <c r="O132" s="203">
        <f>MIN($B132,(150*$F132/1000)+$E132)</f>
        <v>8.6199999999999999E-2</v>
      </c>
      <c r="P132" s="203">
        <f>MIN($B132,(225*$F132/1000)+$E132)</f>
        <v>8.6199999999999999E-2</v>
      </c>
      <c r="Q132" s="203">
        <f t="shared" si="8"/>
        <v>8.6199999999999999E-2</v>
      </c>
      <c r="R132" s="129" t="s">
        <v>195</v>
      </c>
      <c r="S132" s="129" t="str">
        <f>""</f>
        <v/>
      </c>
      <c r="T132" s="129" t="s">
        <v>196</v>
      </c>
      <c r="U132" s="129" t="s">
        <v>197</v>
      </c>
      <c r="V132" s="129" t="s">
        <v>198</v>
      </c>
      <c r="W132" s="129" t="s">
        <v>231</v>
      </c>
      <c r="X132" s="129" t="s">
        <v>206</v>
      </c>
      <c r="Y132" s="129" t="s">
        <v>232</v>
      </c>
      <c r="Z132" s="129" t="s">
        <v>202</v>
      </c>
      <c r="AA132" s="129" t="s">
        <v>233</v>
      </c>
      <c r="AB132" s="129">
        <v>15</v>
      </c>
      <c r="AC132" s="212">
        <f>'PBL OT 2024'!$F$12/POWER(1.02,7)</f>
        <v>3.1295046784292957E-2</v>
      </c>
      <c r="AD132" s="212" t="str">
        <f t="shared" si="7"/>
        <v/>
      </c>
      <c r="AE132" s="212" t="s">
        <v>687</v>
      </c>
      <c r="AF132" s="235">
        <v>17</v>
      </c>
      <c r="AG132" s="129"/>
    </row>
    <row r="133" spans="1:33" ht="15" x14ac:dyDescent="0.25">
      <c r="A133" s="129" t="s">
        <v>234</v>
      </c>
      <c r="B133" s="213">
        <v>0.1646</v>
      </c>
      <c r="C133" s="205">
        <v>2.4E-2</v>
      </c>
      <c r="D133" s="212"/>
      <c r="E133" s="205">
        <v>3.5900000000000001E-2</v>
      </c>
      <c r="F133" s="205">
        <v>0.37969999999999998</v>
      </c>
      <c r="G133" s="245">
        <f t="shared" si="2"/>
        <v>338.95180405583352</v>
      </c>
      <c r="H133" s="212">
        <v>5.6000000000000001E-2</v>
      </c>
      <c r="I133" s="212" t="str">
        <f>""</f>
        <v/>
      </c>
      <c r="J133" s="212"/>
      <c r="K133" s="212">
        <v>4.0000000000000002E-4</v>
      </c>
      <c r="L133" s="129">
        <v>3500</v>
      </c>
      <c r="M133" s="129">
        <v>15</v>
      </c>
      <c r="N133" s="203">
        <f t="shared" ref="N133:N144" si="18">MIN($B133,(75*$F133/1000)+$E133)</f>
        <v>6.4377500000000004E-2</v>
      </c>
      <c r="O133" s="203">
        <f t="shared" ref="O133:O144" si="19">MIN($B133,(150*$F133/1000)+$E133)</f>
        <v>9.2854999999999993E-2</v>
      </c>
      <c r="P133" s="203">
        <f t="shared" ref="P133:P144" si="20">MIN($B133,(225*$F133/1000)+$E133)</f>
        <v>0.1213325</v>
      </c>
      <c r="Q133" s="203">
        <f t="shared" si="8"/>
        <v>0.14981</v>
      </c>
      <c r="R133" s="129" t="s">
        <v>195</v>
      </c>
      <c r="S133" s="129" t="str">
        <f>""</f>
        <v/>
      </c>
      <c r="T133" s="129" t="s">
        <v>196</v>
      </c>
      <c r="U133" s="129" t="s">
        <v>197</v>
      </c>
      <c r="V133" s="129" t="s">
        <v>198</v>
      </c>
      <c r="W133" s="129" t="s">
        <v>231</v>
      </c>
      <c r="X133" s="129" t="s">
        <v>206</v>
      </c>
      <c r="Y133" s="129" t="s">
        <v>232</v>
      </c>
      <c r="Z133" s="129" t="s">
        <v>202</v>
      </c>
      <c r="AA133" s="129" t="s">
        <v>235</v>
      </c>
      <c r="AB133" s="129">
        <v>15</v>
      </c>
      <c r="AC133" s="212">
        <f>'PBL OT 2024'!$F$12/POWER(1.02,7)</f>
        <v>3.1295046784292957E-2</v>
      </c>
      <c r="AD133" s="212" t="str">
        <f t="shared" si="7"/>
        <v/>
      </c>
      <c r="AE133" s="212" t="s">
        <v>687</v>
      </c>
      <c r="AF133" s="235">
        <v>17</v>
      </c>
      <c r="AG133" s="129"/>
    </row>
    <row r="134" spans="1:33" ht="15" x14ac:dyDescent="0.25">
      <c r="A134" s="129" t="s">
        <v>236</v>
      </c>
      <c r="B134" s="213">
        <v>0.1255</v>
      </c>
      <c r="C134" s="205">
        <v>2.4E-2</v>
      </c>
      <c r="D134" s="212"/>
      <c r="E134" s="205">
        <v>3.6600000000000001E-2</v>
      </c>
      <c r="F134" s="205">
        <v>0.36209999999999998</v>
      </c>
      <c r="G134" s="245">
        <f t="shared" si="2"/>
        <v>245.51228942281142</v>
      </c>
      <c r="H134" s="212">
        <v>5.6000000000000001E-2</v>
      </c>
      <c r="I134" s="212" t="str">
        <f>""</f>
        <v/>
      </c>
      <c r="J134" s="212"/>
      <c r="K134" s="212">
        <v>4.0000000000000002E-4</v>
      </c>
      <c r="L134" s="129">
        <v>6000</v>
      </c>
      <c r="M134" s="129">
        <v>15</v>
      </c>
      <c r="N134" s="203">
        <f t="shared" si="18"/>
        <v>6.3757499999999995E-2</v>
      </c>
      <c r="O134" s="203">
        <f t="shared" si="19"/>
        <v>9.0914999999999996E-2</v>
      </c>
      <c r="P134" s="203">
        <f t="shared" si="20"/>
        <v>0.1180725</v>
      </c>
      <c r="Q134" s="203">
        <f t="shared" si="8"/>
        <v>0.1255</v>
      </c>
      <c r="R134" s="129" t="s">
        <v>195</v>
      </c>
      <c r="S134" s="129" t="str">
        <f>""</f>
        <v/>
      </c>
      <c r="T134" s="129" t="s">
        <v>196</v>
      </c>
      <c r="U134" s="129" t="s">
        <v>197</v>
      </c>
      <c r="V134" s="129" t="s">
        <v>198</v>
      </c>
      <c r="W134" s="129" t="s">
        <v>231</v>
      </c>
      <c r="X134" s="129" t="s">
        <v>206</v>
      </c>
      <c r="Y134" s="129" t="s">
        <v>232</v>
      </c>
      <c r="Z134" s="129" t="s">
        <v>202</v>
      </c>
      <c r="AA134" s="129" t="s">
        <v>503</v>
      </c>
      <c r="AB134" s="129">
        <v>15</v>
      </c>
      <c r="AC134" s="212">
        <f>'PBL OT 2024'!$F$12/POWER(1.02,7)</f>
        <v>3.1295046784292957E-2</v>
      </c>
      <c r="AD134" s="212" t="str">
        <f t="shared" si="7"/>
        <v/>
      </c>
      <c r="AE134" s="212" t="s">
        <v>687</v>
      </c>
      <c r="AF134" s="235">
        <v>17</v>
      </c>
      <c r="AG134" s="129"/>
    </row>
    <row r="135" spans="1:33" ht="15" x14ac:dyDescent="0.25">
      <c r="A135" s="129" t="s">
        <v>237</v>
      </c>
      <c r="B135" s="213">
        <v>5.8900000000000001E-2</v>
      </c>
      <c r="C135" s="205">
        <v>2.4E-2</v>
      </c>
      <c r="D135" s="212"/>
      <c r="E135" s="205">
        <v>3.5900000000000001E-2</v>
      </c>
      <c r="F135" s="205">
        <v>0.43559999999999999</v>
      </c>
      <c r="G135" s="245">
        <f t="shared" si="2"/>
        <v>52.800734618916437</v>
      </c>
      <c r="H135" s="212">
        <v>5.6000000000000001E-2</v>
      </c>
      <c r="I135" s="212" t="str">
        <f>""</f>
        <v/>
      </c>
      <c r="J135" s="212"/>
      <c r="K135" s="212">
        <v>1.9E-3</v>
      </c>
      <c r="L135" s="129">
        <v>6000</v>
      </c>
      <c r="M135" s="129">
        <v>15</v>
      </c>
      <c r="N135" s="203">
        <f t="shared" si="18"/>
        <v>5.8900000000000001E-2</v>
      </c>
      <c r="O135" s="203">
        <f t="shared" si="19"/>
        <v>5.8900000000000001E-2</v>
      </c>
      <c r="P135" s="203">
        <f t="shared" si="20"/>
        <v>5.8900000000000001E-2</v>
      </c>
      <c r="Q135" s="203">
        <f t="shared" si="8"/>
        <v>5.8900000000000001E-2</v>
      </c>
      <c r="R135" s="129" t="s">
        <v>195</v>
      </c>
      <c r="S135" s="129" t="str">
        <f>""</f>
        <v/>
      </c>
      <c r="T135" s="129" t="s">
        <v>196</v>
      </c>
      <c r="U135" s="129" t="s">
        <v>197</v>
      </c>
      <c r="V135" s="129" t="s">
        <v>198</v>
      </c>
      <c r="W135" s="129" t="s">
        <v>238</v>
      </c>
      <c r="X135" s="129" t="s">
        <v>206</v>
      </c>
      <c r="Y135" s="129" t="s">
        <v>232</v>
      </c>
      <c r="Z135" s="129" t="s">
        <v>202</v>
      </c>
      <c r="AA135" s="129" t="str">
        <f>""</f>
        <v/>
      </c>
      <c r="AB135" s="129">
        <v>15</v>
      </c>
      <c r="AC135" s="212">
        <f>'PBL OT 2024'!$F$12/POWER(1.02,7)</f>
        <v>3.1295046784292957E-2</v>
      </c>
      <c r="AD135" s="212" t="str">
        <f t="shared" si="7"/>
        <v/>
      </c>
      <c r="AE135" s="212" t="s">
        <v>687</v>
      </c>
      <c r="AF135" s="235">
        <v>17</v>
      </c>
      <c r="AG135" s="129"/>
    </row>
    <row r="136" spans="1:33" ht="15" x14ac:dyDescent="0.25">
      <c r="A136" s="129" t="s">
        <v>239</v>
      </c>
      <c r="B136" s="213">
        <v>5.2499999999999998E-2</v>
      </c>
      <c r="C136" s="205">
        <v>2.4E-2</v>
      </c>
      <c r="D136" s="212"/>
      <c r="E136" s="205">
        <v>3.5900000000000001E-2</v>
      </c>
      <c r="F136" s="205">
        <v>0.438</v>
      </c>
      <c r="G136" s="245">
        <f t="shared" si="2"/>
        <v>37.899543378995432</v>
      </c>
      <c r="H136" s="212">
        <v>5.6000000000000001E-2</v>
      </c>
      <c r="I136" s="212" t="str">
        <f>""</f>
        <v/>
      </c>
      <c r="J136" s="212"/>
      <c r="K136" s="212">
        <v>1.9E-3</v>
      </c>
      <c r="L136" s="129">
        <v>6000</v>
      </c>
      <c r="M136" s="129">
        <v>15</v>
      </c>
      <c r="N136" s="203">
        <f t="shared" si="18"/>
        <v>5.2499999999999998E-2</v>
      </c>
      <c r="O136" s="203">
        <f t="shared" si="19"/>
        <v>5.2499999999999998E-2</v>
      </c>
      <c r="P136" s="203">
        <f t="shared" si="20"/>
        <v>5.2499999999999998E-2</v>
      </c>
      <c r="Q136" s="203">
        <f t="shared" si="8"/>
        <v>5.2499999999999998E-2</v>
      </c>
      <c r="R136" s="129" t="s">
        <v>195</v>
      </c>
      <c r="S136" s="129" t="str">
        <f>""</f>
        <v/>
      </c>
      <c r="T136" s="129" t="s">
        <v>196</v>
      </c>
      <c r="U136" s="129" t="s">
        <v>197</v>
      </c>
      <c r="V136" s="129" t="s">
        <v>198</v>
      </c>
      <c r="W136" s="129" t="s">
        <v>238</v>
      </c>
      <c r="X136" s="129" t="s">
        <v>206</v>
      </c>
      <c r="Y136" s="129" t="s">
        <v>232</v>
      </c>
      <c r="Z136" s="129" t="s">
        <v>202</v>
      </c>
      <c r="AA136" s="129" t="str">
        <f>""</f>
        <v/>
      </c>
      <c r="AB136" s="129">
        <v>15</v>
      </c>
      <c r="AC136" s="212">
        <f>'PBL OT 2024'!$F$12/POWER(1.02,7)</f>
        <v>3.1295046784292957E-2</v>
      </c>
      <c r="AD136" s="212" t="str">
        <f t="shared" si="7"/>
        <v/>
      </c>
      <c r="AE136" s="212" t="s">
        <v>687</v>
      </c>
      <c r="AF136" s="235">
        <v>17</v>
      </c>
      <c r="AG136" s="129"/>
    </row>
    <row r="137" spans="1:33" ht="15" x14ac:dyDescent="0.25">
      <c r="A137" s="129" t="s">
        <v>240</v>
      </c>
      <c r="B137" s="213">
        <v>4.6600000000000003E-2</v>
      </c>
      <c r="C137" s="205">
        <v>2.4E-2</v>
      </c>
      <c r="D137" s="212"/>
      <c r="E137" s="205">
        <v>3.5900000000000001E-2</v>
      </c>
      <c r="F137" s="205">
        <v>0.437</v>
      </c>
      <c r="G137" s="245">
        <f t="shared" si="2"/>
        <v>24.485125858123574</v>
      </c>
      <c r="H137" s="212">
        <v>5.6000000000000001E-2</v>
      </c>
      <c r="I137" s="212" t="str">
        <f>""</f>
        <v/>
      </c>
      <c r="J137" s="212"/>
      <c r="K137" s="212">
        <v>1.9E-3</v>
      </c>
      <c r="L137" s="129">
        <v>6000</v>
      </c>
      <c r="M137" s="129">
        <v>15</v>
      </c>
      <c r="N137" s="203">
        <f t="shared" si="18"/>
        <v>4.6600000000000003E-2</v>
      </c>
      <c r="O137" s="203">
        <f t="shared" si="19"/>
        <v>4.6600000000000003E-2</v>
      </c>
      <c r="P137" s="203">
        <f t="shared" si="20"/>
        <v>4.6600000000000003E-2</v>
      </c>
      <c r="Q137" s="203">
        <f t="shared" si="8"/>
        <v>4.6600000000000003E-2</v>
      </c>
      <c r="R137" s="129" t="s">
        <v>195</v>
      </c>
      <c r="S137" s="129" t="str">
        <f>""</f>
        <v/>
      </c>
      <c r="T137" s="129" t="s">
        <v>196</v>
      </c>
      <c r="U137" s="129" t="s">
        <v>197</v>
      </c>
      <c r="V137" s="129" t="s">
        <v>198</v>
      </c>
      <c r="W137" s="129" t="s">
        <v>238</v>
      </c>
      <c r="X137" s="129" t="s">
        <v>206</v>
      </c>
      <c r="Y137" s="129" t="s">
        <v>232</v>
      </c>
      <c r="Z137" s="129" t="s">
        <v>202</v>
      </c>
      <c r="AA137" s="129" t="str">
        <f>""</f>
        <v/>
      </c>
      <c r="AB137" s="129">
        <v>15</v>
      </c>
      <c r="AC137" s="212">
        <f>'PBL OT 2024'!$F$12/POWER(1.02,7)</f>
        <v>3.1295046784292957E-2</v>
      </c>
      <c r="AD137" s="212" t="str">
        <f t="shared" si="7"/>
        <v/>
      </c>
      <c r="AE137" s="212" t="s">
        <v>687</v>
      </c>
      <c r="AF137" s="235">
        <v>17</v>
      </c>
      <c r="AG137" s="129"/>
    </row>
    <row r="138" spans="1:33" ht="15" x14ac:dyDescent="0.25">
      <c r="A138" s="129" t="s">
        <v>241</v>
      </c>
      <c r="B138" s="213">
        <v>5.8900000000000001E-2</v>
      </c>
      <c r="C138" s="205">
        <v>2.4E-2</v>
      </c>
      <c r="D138" s="212"/>
      <c r="E138" s="205">
        <v>3.5900000000000001E-2</v>
      </c>
      <c r="F138" s="205">
        <v>0.43559999999999999</v>
      </c>
      <c r="G138" s="245">
        <f t="shared" si="2"/>
        <v>52.800734618916437</v>
      </c>
      <c r="H138" s="212">
        <v>5.6000000000000001E-2</v>
      </c>
      <c r="I138" s="212" t="str">
        <f>""</f>
        <v/>
      </c>
      <c r="J138" s="212"/>
      <c r="K138" s="212">
        <v>1.9E-3</v>
      </c>
      <c r="L138" s="129">
        <v>6000</v>
      </c>
      <c r="M138" s="129">
        <v>15</v>
      </c>
      <c r="N138" s="203">
        <f t="shared" si="18"/>
        <v>5.8900000000000001E-2</v>
      </c>
      <c r="O138" s="203">
        <f t="shared" si="19"/>
        <v>5.8900000000000001E-2</v>
      </c>
      <c r="P138" s="203">
        <f t="shared" si="20"/>
        <v>5.8900000000000001E-2</v>
      </c>
      <c r="Q138" s="203">
        <f t="shared" si="8"/>
        <v>5.8900000000000001E-2</v>
      </c>
      <c r="R138" s="129" t="s">
        <v>195</v>
      </c>
      <c r="S138" s="129" t="str">
        <f>""</f>
        <v/>
      </c>
      <c r="T138" s="129" t="s">
        <v>196</v>
      </c>
      <c r="U138" s="129" t="s">
        <v>197</v>
      </c>
      <c r="V138" s="129" t="s">
        <v>198</v>
      </c>
      <c r="W138" s="129" t="s">
        <v>238</v>
      </c>
      <c r="X138" s="129" t="s">
        <v>206</v>
      </c>
      <c r="Y138" s="129" t="s">
        <v>232</v>
      </c>
      <c r="Z138" s="129" t="s">
        <v>202</v>
      </c>
      <c r="AA138" s="129" t="str">
        <f>""</f>
        <v/>
      </c>
      <c r="AB138" s="129">
        <v>15</v>
      </c>
      <c r="AC138" s="212">
        <f>'PBL OT 2024'!$F$12/POWER(1.02,7)</f>
        <v>3.1295046784292957E-2</v>
      </c>
      <c r="AD138" s="212" t="str">
        <f t="shared" si="7"/>
        <v/>
      </c>
      <c r="AE138" s="212" t="s">
        <v>687</v>
      </c>
      <c r="AF138" s="235">
        <v>17</v>
      </c>
      <c r="AG138" s="129"/>
    </row>
    <row r="139" spans="1:33" ht="15" x14ac:dyDescent="0.25">
      <c r="A139" s="129" t="s">
        <v>242</v>
      </c>
      <c r="B139" s="213">
        <v>5.2499999999999998E-2</v>
      </c>
      <c r="C139" s="205">
        <v>2.4E-2</v>
      </c>
      <c r="D139" s="212"/>
      <c r="E139" s="205">
        <v>3.5900000000000001E-2</v>
      </c>
      <c r="F139" s="205">
        <v>0.438</v>
      </c>
      <c r="G139" s="245">
        <f t="shared" si="2"/>
        <v>37.899543378995432</v>
      </c>
      <c r="H139" s="212">
        <v>5.6000000000000001E-2</v>
      </c>
      <c r="I139" s="212" t="str">
        <f>""</f>
        <v/>
      </c>
      <c r="J139" s="212"/>
      <c r="K139" s="212">
        <v>1.9E-3</v>
      </c>
      <c r="L139" s="129">
        <v>6000</v>
      </c>
      <c r="M139" s="129">
        <v>15</v>
      </c>
      <c r="N139" s="203">
        <f t="shared" si="18"/>
        <v>5.2499999999999998E-2</v>
      </c>
      <c r="O139" s="203">
        <f t="shared" si="19"/>
        <v>5.2499999999999998E-2</v>
      </c>
      <c r="P139" s="203">
        <f t="shared" si="20"/>
        <v>5.2499999999999998E-2</v>
      </c>
      <c r="Q139" s="203">
        <f t="shared" si="8"/>
        <v>5.2499999999999998E-2</v>
      </c>
      <c r="R139" s="129" t="s">
        <v>195</v>
      </c>
      <c r="S139" s="129" t="str">
        <f>""</f>
        <v/>
      </c>
      <c r="T139" s="129" t="s">
        <v>196</v>
      </c>
      <c r="U139" s="129" t="s">
        <v>197</v>
      </c>
      <c r="V139" s="129" t="s">
        <v>198</v>
      </c>
      <c r="W139" s="129" t="s">
        <v>238</v>
      </c>
      <c r="X139" s="129" t="s">
        <v>206</v>
      </c>
      <c r="Y139" s="129" t="s">
        <v>232</v>
      </c>
      <c r="Z139" s="129" t="s">
        <v>202</v>
      </c>
      <c r="AA139" s="129" t="str">
        <f>""</f>
        <v/>
      </c>
      <c r="AB139" s="129">
        <v>15</v>
      </c>
      <c r="AC139" s="212">
        <f>'PBL OT 2024'!$F$12/POWER(1.02,7)</f>
        <v>3.1295046784292957E-2</v>
      </c>
      <c r="AD139" s="212" t="str">
        <f t="shared" si="7"/>
        <v/>
      </c>
      <c r="AE139" s="212" t="s">
        <v>687</v>
      </c>
      <c r="AF139" s="235">
        <v>17</v>
      </c>
      <c r="AG139" s="129"/>
    </row>
    <row r="140" spans="1:33" ht="15" x14ac:dyDescent="0.25">
      <c r="A140" s="129" t="s">
        <v>243</v>
      </c>
      <c r="B140" s="213">
        <v>4.6600000000000003E-2</v>
      </c>
      <c r="C140" s="205">
        <v>2.4E-2</v>
      </c>
      <c r="D140" s="212"/>
      <c r="E140" s="205">
        <v>3.5900000000000001E-2</v>
      </c>
      <c r="F140" s="205">
        <v>0.437</v>
      </c>
      <c r="G140" s="245">
        <f t="shared" si="2"/>
        <v>24.485125858123574</v>
      </c>
      <c r="H140" s="212">
        <v>5.6000000000000001E-2</v>
      </c>
      <c r="I140" s="212" t="str">
        <f>""</f>
        <v/>
      </c>
      <c r="J140" s="212"/>
      <c r="K140" s="212">
        <v>1.9E-3</v>
      </c>
      <c r="L140" s="129">
        <v>6000</v>
      </c>
      <c r="M140" s="129">
        <v>15</v>
      </c>
      <c r="N140" s="203">
        <f t="shared" si="18"/>
        <v>4.6600000000000003E-2</v>
      </c>
      <c r="O140" s="203">
        <f t="shared" si="19"/>
        <v>4.6600000000000003E-2</v>
      </c>
      <c r="P140" s="203">
        <f t="shared" si="20"/>
        <v>4.6600000000000003E-2</v>
      </c>
      <c r="Q140" s="203">
        <f t="shared" si="8"/>
        <v>4.6600000000000003E-2</v>
      </c>
      <c r="R140" s="129" t="s">
        <v>195</v>
      </c>
      <c r="S140" s="129" t="str">
        <f>""</f>
        <v/>
      </c>
      <c r="T140" s="129" t="s">
        <v>196</v>
      </c>
      <c r="U140" s="129" t="s">
        <v>197</v>
      </c>
      <c r="V140" s="129" t="s">
        <v>198</v>
      </c>
      <c r="W140" s="129" t="s">
        <v>238</v>
      </c>
      <c r="X140" s="129" t="s">
        <v>206</v>
      </c>
      <c r="Y140" s="129" t="s">
        <v>232</v>
      </c>
      <c r="Z140" s="129" t="s">
        <v>202</v>
      </c>
      <c r="AA140" s="129" t="str">
        <f>""</f>
        <v/>
      </c>
      <c r="AB140" s="129">
        <v>15</v>
      </c>
      <c r="AC140" s="212">
        <f>'PBL OT 2024'!$F$12/POWER(1.02,7)</f>
        <v>3.1295046784292957E-2</v>
      </c>
      <c r="AD140" s="212" t="str">
        <f t="shared" si="7"/>
        <v/>
      </c>
      <c r="AE140" s="212" t="s">
        <v>687</v>
      </c>
      <c r="AF140" s="235">
        <v>17</v>
      </c>
      <c r="AG140" s="129"/>
    </row>
    <row r="141" spans="1:33" ht="15" x14ac:dyDescent="0.25">
      <c r="A141" s="129" t="s">
        <v>244</v>
      </c>
      <c r="B141" s="213">
        <v>0.13189999999999999</v>
      </c>
      <c r="C141" s="205">
        <v>2.4E-2</v>
      </c>
      <c r="D141" s="212"/>
      <c r="E141" s="205">
        <v>3.9E-2</v>
      </c>
      <c r="F141" s="205">
        <v>0.43090000000000001</v>
      </c>
      <c r="G141" s="245">
        <f t="shared" si="2"/>
        <v>215.59526572290548</v>
      </c>
      <c r="H141" s="212">
        <v>5.6000000000000001E-2</v>
      </c>
      <c r="I141" s="212" t="str">
        <f>""</f>
        <v/>
      </c>
      <c r="J141" s="212"/>
      <c r="K141" s="212">
        <v>1.9E-3</v>
      </c>
      <c r="L141" s="129">
        <v>3500</v>
      </c>
      <c r="M141" s="129">
        <v>15</v>
      </c>
      <c r="N141" s="203">
        <f t="shared" si="18"/>
        <v>7.1317500000000006E-2</v>
      </c>
      <c r="O141" s="203">
        <f t="shared" si="19"/>
        <v>0.103635</v>
      </c>
      <c r="P141" s="203">
        <f t="shared" si="20"/>
        <v>0.13189999999999999</v>
      </c>
      <c r="Q141" s="203">
        <f t="shared" si="8"/>
        <v>0.13189999999999999</v>
      </c>
      <c r="R141" s="129" t="s">
        <v>195</v>
      </c>
      <c r="S141" s="129" t="str">
        <f>""</f>
        <v/>
      </c>
      <c r="T141" s="129" t="s">
        <v>196</v>
      </c>
      <c r="U141" s="129" t="s">
        <v>197</v>
      </c>
      <c r="V141" s="129" t="s">
        <v>198</v>
      </c>
      <c r="W141" s="129" t="s">
        <v>238</v>
      </c>
      <c r="X141" s="129" t="s">
        <v>206</v>
      </c>
      <c r="Y141" s="129" t="s">
        <v>232</v>
      </c>
      <c r="Z141" s="129" t="s">
        <v>202</v>
      </c>
      <c r="AA141" s="129" t="s">
        <v>245</v>
      </c>
      <c r="AB141" s="129">
        <v>15</v>
      </c>
      <c r="AC141" s="212">
        <f>'PBL OT 2024'!$F$12/POWER(1.02,7)</f>
        <v>3.1295046784292957E-2</v>
      </c>
      <c r="AD141" s="212" t="str">
        <f t="shared" si="7"/>
        <v/>
      </c>
      <c r="AE141" s="212" t="s">
        <v>687</v>
      </c>
      <c r="AF141" s="235">
        <v>17</v>
      </c>
      <c r="AG141" s="129"/>
    </row>
    <row r="142" spans="1:33" ht="15" x14ac:dyDescent="0.25">
      <c r="A142" s="129" t="s">
        <v>246</v>
      </c>
      <c r="B142" s="213">
        <v>0.10290000000000001</v>
      </c>
      <c r="C142" s="205">
        <v>2.4E-2</v>
      </c>
      <c r="D142" s="212"/>
      <c r="E142" s="205">
        <v>3.9E-2</v>
      </c>
      <c r="F142" s="205">
        <v>0.438</v>
      </c>
      <c r="G142" s="245">
        <f t="shared" si="2"/>
        <v>145.89041095890414</v>
      </c>
      <c r="H142" s="212">
        <v>5.6000000000000001E-2</v>
      </c>
      <c r="I142" s="212" t="str">
        <f>""</f>
        <v/>
      </c>
      <c r="J142" s="212"/>
      <c r="K142" s="212">
        <v>1.9E-3</v>
      </c>
      <c r="L142" s="129">
        <v>5000</v>
      </c>
      <c r="M142" s="129">
        <v>15</v>
      </c>
      <c r="N142" s="203">
        <f t="shared" si="18"/>
        <v>7.1849999999999997E-2</v>
      </c>
      <c r="O142" s="203">
        <f t="shared" si="19"/>
        <v>0.10290000000000001</v>
      </c>
      <c r="P142" s="203">
        <f t="shared" si="20"/>
        <v>0.10290000000000001</v>
      </c>
      <c r="Q142" s="203">
        <f t="shared" si="8"/>
        <v>0.10290000000000001</v>
      </c>
      <c r="R142" s="129" t="s">
        <v>195</v>
      </c>
      <c r="S142" s="129" t="str">
        <f>""</f>
        <v/>
      </c>
      <c r="T142" s="129" t="s">
        <v>196</v>
      </c>
      <c r="U142" s="129" t="s">
        <v>197</v>
      </c>
      <c r="V142" s="129" t="s">
        <v>198</v>
      </c>
      <c r="W142" s="129" t="s">
        <v>238</v>
      </c>
      <c r="X142" s="129" t="s">
        <v>206</v>
      </c>
      <c r="Y142" s="129" t="s">
        <v>232</v>
      </c>
      <c r="Z142" s="129" t="s">
        <v>202</v>
      </c>
      <c r="AA142" s="129" t="s">
        <v>245</v>
      </c>
      <c r="AB142" s="129">
        <v>15</v>
      </c>
      <c r="AC142" s="212">
        <f>'PBL OT 2024'!$F$12/POWER(1.02,7)</f>
        <v>3.1295046784292957E-2</v>
      </c>
      <c r="AD142" s="212" t="str">
        <f t="shared" si="7"/>
        <v/>
      </c>
      <c r="AE142" s="212" t="s">
        <v>687</v>
      </c>
      <c r="AF142" s="235">
        <v>17</v>
      </c>
      <c r="AG142" s="129"/>
    </row>
    <row r="143" spans="1:33" ht="15" x14ac:dyDescent="0.25">
      <c r="A143" s="129" t="s">
        <v>247</v>
      </c>
      <c r="B143" s="213">
        <v>3.4099999999999998E-2</v>
      </c>
      <c r="C143" s="205">
        <v>2.4E-2</v>
      </c>
      <c r="D143" s="212"/>
      <c r="E143" s="205">
        <v>3.5900000000000001E-2</v>
      </c>
      <c r="F143" s="205">
        <v>0.438</v>
      </c>
      <c r="G143" s="245">
        <f t="shared" si="2"/>
        <v>-4.1095890410958971</v>
      </c>
      <c r="H143" s="212">
        <v>5.6000000000000001E-2</v>
      </c>
      <c r="I143" s="212" t="str">
        <f>""</f>
        <v/>
      </c>
      <c r="J143" s="212"/>
      <c r="K143" s="212">
        <v>1.9E-3</v>
      </c>
      <c r="L143" s="129">
        <v>6000</v>
      </c>
      <c r="M143" s="129">
        <v>15</v>
      </c>
      <c r="N143" s="203">
        <f t="shared" si="18"/>
        <v>3.4099999999999998E-2</v>
      </c>
      <c r="O143" s="203">
        <f t="shared" si="19"/>
        <v>3.4099999999999998E-2</v>
      </c>
      <c r="P143" s="203">
        <f t="shared" si="20"/>
        <v>3.4099999999999998E-2</v>
      </c>
      <c r="Q143" s="203">
        <f t="shared" si="8"/>
        <v>3.4099999999999998E-2</v>
      </c>
      <c r="R143" s="129" t="s">
        <v>195</v>
      </c>
      <c r="S143" s="129" t="str">
        <f>""</f>
        <v/>
      </c>
      <c r="T143" s="129" t="s">
        <v>196</v>
      </c>
      <c r="U143" s="129" t="s">
        <v>197</v>
      </c>
      <c r="V143" s="129" t="s">
        <v>198</v>
      </c>
      <c r="W143" s="129" t="s">
        <v>238</v>
      </c>
      <c r="X143" s="129" t="s">
        <v>206</v>
      </c>
      <c r="Y143" s="129" t="s">
        <v>232</v>
      </c>
      <c r="Z143" s="129" t="s">
        <v>202</v>
      </c>
      <c r="AA143" s="129" t="str">
        <f>""</f>
        <v/>
      </c>
      <c r="AB143" s="129">
        <v>15</v>
      </c>
      <c r="AC143" s="212">
        <f>'PBL OT 2024'!$F$12/POWER(1.02,7)</f>
        <v>3.1295046784292957E-2</v>
      </c>
      <c r="AD143" s="212" t="str">
        <f t="shared" si="7"/>
        <v/>
      </c>
      <c r="AE143" s="212" t="s">
        <v>687</v>
      </c>
      <c r="AF143" s="235">
        <v>17</v>
      </c>
      <c r="AG143" s="129"/>
    </row>
    <row r="144" spans="1:33" ht="15" x14ac:dyDescent="0.25">
      <c r="A144" s="129" t="s">
        <v>248</v>
      </c>
      <c r="B144" s="213">
        <v>8.0600000000000005E-2</v>
      </c>
      <c r="C144" s="205">
        <v>2.4E-2</v>
      </c>
      <c r="D144" s="212"/>
      <c r="E144" s="205">
        <v>6.6799999999999998E-2</v>
      </c>
      <c r="F144" s="205">
        <v>0.438</v>
      </c>
      <c r="G144" s="245">
        <f t="shared" si="2"/>
        <v>31.506849315068507</v>
      </c>
      <c r="H144" s="212">
        <v>5.6000000000000001E-2</v>
      </c>
      <c r="I144" s="212" t="str">
        <f>""</f>
        <v/>
      </c>
      <c r="J144" s="212"/>
      <c r="K144" s="212">
        <v>1.8499999999999999E-2</v>
      </c>
      <c r="L144" s="129">
        <v>7000</v>
      </c>
      <c r="M144" s="129">
        <v>15</v>
      </c>
      <c r="N144" s="203">
        <f t="shared" si="18"/>
        <v>8.0600000000000005E-2</v>
      </c>
      <c r="O144" s="203">
        <f t="shared" si="19"/>
        <v>8.0600000000000005E-2</v>
      </c>
      <c r="P144" s="203">
        <f t="shared" si="20"/>
        <v>8.0600000000000005E-2</v>
      </c>
      <c r="Q144" s="203">
        <f t="shared" si="8"/>
        <v>8.0600000000000005E-2</v>
      </c>
      <c r="R144" s="129" t="s">
        <v>195</v>
      </c>
      <c r="S144" s="129" t="str">
        <f>""</f>
        <v/>
      </c>
      <c r="T144" s="129" t="s">
        <v>196</v>
      </c>
      <c r="U144" s="129" t="s">
        <v>197</v>
      </c>
      <c r="V144" s="129" t="s">
        <v>198</v>
      </c>
      <c r="W144" s="129" t="s">
        <v>238</v>
      </c>
      <c r="X144" s="129" t="s">
        <v>206</v>
      </c>
      <c r="Y144" s="129" t="s">
        <v>232</v>
      </c>
      <c r="Z144" s="129" t="s">
        <v>202</v>
      </c>
      <c r="AA144" s="129" t="str">
        <f>""</f>
        <v/>
      </c>
      <c r="AB144" s="129">
        <v>15</v>
      </c>
      <c r="AC144" s="212">
        <f>'PBL OT 2024'!$F$12/POWER(1.02,7)</f>
        <v>3.1295046784292957E-2</v>
      </c>
      <c r="AD144" s="212" t="str">
        <f t="shared" si="7"/>
        <v/>
      </c>
      <c r="AE144" s="212" t="s">
        <v>687</v>
      </c>
      <c r="AF144" s="235">
        <v>17</v>
      </c>
      <c r="AG144" s="129"/>
    </row>
    <row r="145" spans="1:33" ht="15" x14ac:dyDescent="0.25">
      <c r="A145" s="129"/>
      <c r="B145" s="213"/>
      <c r="C145" s="205"/>
      <c r="D145" s="212"/>
      <c r="E145" s="205"/>
      <c r="F145" s="205"/>
      <c r="G145" s="245"/>
      <c r="H145" s="212"/>
      <c r="I145" s="212"/>
      <c r="J145" s="212"/>
      <c r="K145" s="212"/>
      <c r="L145" s="129"/>
      <c r="M145" s="129"/>
      <c r="N145" s="203"/>
      <c r="O145" s="203"/>
      <c r="P145" s="203"/>
      <c r="Q145" s="203"/>
      <c r="R145" s="129"/>
      <c r="S145" s="129" t="s">
        <v>249</v>
      </c>
      <c r="T145" s="129"/>
      <c r="U145" s="129"/>
      <c r="V145" s="129"/>
      <c r="W145" s="129"/>
      <c r="X145" s="129"/>
      <c r="Y145" s="129"/>
      <c r="Z145" s="129"/>
      <c r="AA145" s="129"/>
      <c r="AB145" s="129"/>
      <c r="AC145" s="240"/>
      <c r="AD145" s="212"/>
      <c r="AE145" s="212"/>
      <c r="AF145" s="235"/>
      <c r="AG145" s="129"/>
    </row>
    <row r="146" spans="1:33" ht="15" x14ac:dyDescent="0.25">
      <c r="A146" s="206" t="s">
        <v>250</v>
      </c>
      <c r="B146" s="215"/>
      <c r="C146" s="205"/>
      <c r="D146" s="212"/>
      <c r="E146" s="205"/>
      <c r="F146" s="205"/>
      <c r="G146" s="245"/>
      <c r="H146" s="212"/>
      <c r="I146" s="212"/>
      <c r="J146" s="212"/>
      <c r="K146" s="212"/>
      <c r="L146" s="129"/>
      <c r="M146" s="129"/>
      <c r="N146" s="203"/>
      <c r="O146" s="203"/>
      <c r="P146" s="203"/>
      <c r="Q146" s="203"/>
      <c r="R146" s="129"/>
      <c r="S146" s="129" t="s">
        <v>249</v>
      </c>
      <c r="T146" s="129"/>
      <c r="U146" s="129"/>
      <c r="V146" s="129"/>
      <c r="W146" s="129"/>
      <c r="X146" s="129"/>
      <c r="Y146" s="129"/>
      <c r="Z146" s="129"/>
      <c r="AA146" s="129"/>
      <c r="AB146" s="129"/>
      <c r="AC146" s="240"/>
      <c r="AD146" s="212"/>
      <c r="AE146" s="212"/>
      <c r="AF146" s="235"/>
      <c r="AG146" s="129"/>
    </row>
    <row r="147" spans="1:33" ht="15.75" x14ac:dyDescent="0.25">
      <c r="A147" s="129" t="s">
        <v>251</v>
      </c>
      <c r="B147" s="213">
        <v>0.13289999999999999</v>
      </c>
      <c r="C147" s="205">
        <v>6.2600000000000003E-2</v>
      </c>
      <c r="D147" s="212"/>
      <c r="E147" s="205">
        <v>9.3899999999999997E-2</v>
      </c>
      <c r="F147" s="205">
        <v>0.13</v>
      </c>
      <c r="G147" s="245">
        <f t="shared" ref="G147:G209" si="21">(B147-E147)*1000/F147</f>
        <v>299.99999999999994</v>
      </c>
      <c r="H147" s="212">
        <v>0.14879999999999999</v>
      </c>
      <c r="I147" s="212" t="str">
        <f>""</f>
        <v/>
      </c>
      <c r="J147" s="212"/>
      <c r="K147" s="213"/>
      <c r="L147" s="129">
        <v>3700</v>
      </c>
      <c r="M147" s="129">
        <v>15</v>
      </c>
      <c r="N147" s="203">
        <f>MIN($B147,(75*$F147/1000)+$E147)</f>
        <v>0.10364999999999999</v>
      </c>
      <c r="O147" s="203">
        <f>MIN($B147,(150*$F147/1000)+$E147)</f>
        <v>0.1134</v>
      </c>
      <c r="P147" s="203">
        <f>MIN($B147,(225*$F147/1000)+$E147)</f>
        <v>0.12315</v>
      </c>
      <c r="Q147" s="203">
        <f t="shared" si="8"/>
        <v>0.13289999999999999</v>
      </c>
      <c r="R147" s="129" t="s">
        <v>194</v>
      </c>
      <c r="S147" s="129" t="str">
        <f>""</f>
        <v/>
      </c>
      <c r="T147" s="129" t="s">
        <v>196</v>
      </c>
      <c r="U147" s="129" t="s">
        <v>197</v>
      </c>
      <c r="V147" s="129" t="s">
        <v>198</v>
      </c>
      <c r="W147" s="129" t="s">
        <v>252</v>
      </c>
      <c r="X147" s="129" t="s">
        <v>253</v>
      </c>
      <c r="Y147" s="129" t="s">
        <v>254</v>
      </c>
      <c r="Z147" s="129" t="s">
        <v>202</v>
      </c>
      <c r="AA147" s="129" t="str">
        <f>""</f>
        <v/>
      </c>
      <c r="AB147" s="129">
        <v>15</v>
      </c>
      <c r="AC147" s="212">
        <f>'PBL OT 2024'!$F$3/POWER(1.02,7)</f>
        <v>8.1771582198120529E-2</v>
      </c>
      <c r="AD147" s="212" t="str">
        <f t="shared" ref="AD147:AD209" si="22">IF(AC147&lt;B147,"",FALSE)</f>
        <v/>
      </c>
      <c r="AE147" s="241" t="s">
        <v>683</v>
      </c>
      <c r="AF147" s="235">
        <v>1</v>
      </c>
      <c r="AG147" s="129"/>
    </row>
    <row r="148" spans="1:33" ht="15.75" x14ac:dyDescent="0.25">
      <c r="A148" s="129" t="s">
        <v>255</v>
      </c>
      <c r="B148" s="213">
        <v>0.13289999999999999</v>
      </c>
      <c r="C148" s="205">
        <v>6.2600000000000003E-2</v>
      </c>
      <c r="D148" s="212"/>
      <c r="E148" s="205">
        <v>9.3899999999999997E-2</v>
      </c>
      <c r="F148" s="205">
        <v>0.13</v>
      </c>
      <c r="G148" s="245">
        <f t="shared" si="21"/>
        <v>299.99999999999994</v>
      </c>
      <c r="H148" s="212">
        <v>0.14879999999999999</v>
      </c>
      <c r="I148" s="212" t="str">
        <f>""</f>
        <v/>
      </c>
      <c r="J148" s="212"/>
      <c r="K148" s="213"/>
      <c r="L148" s="129">
        <v>5700</v>
      </c>
      <c r="M148" s="129">
        <v>15</v>
      </c>
      <c r="N148" s="203">
        <f t="shared" ref="N148:N149" si="23">MIN($B148,(75*$F148/1000)+$E148)</f>
        <v>0.10364999999999999</v>
      </c>
      <c r="O148" s="203">
        <f t="shared" ref="O148:O149" si="24">MIN($B148,(150*$F148/1000)+$E148)</f>
        <v>0.1134</v>
      </c>
      <c r="P148" s="203">
        <f t="shared" ref="P148:P149" si="25">MIN($B148,(225*$F148/1000)+$E148)</f>
        <v>0.12315</v>
      </c>
      <c r="Q148" s="203">
        <f t="shared" si="8"/>
        <v>0.13289999999999999</v>
      </c>
      <c r="R148" s="129" t="s">
        <v>194</v>
      </c>
      <c r="S148" s="129" t="str">
        <f>""</f>
        <v/>
      </c>
      <c r="T148" s="129" t="s">
        <v>196</v>
      </c>
      <c r="U148" s="129" t="s">
        <v>197</v>
      </c>
      <c r="V148" s="129" t="s">
        <v>198</v>
      </c>
      <c r="W148" s="129" t="s">
        <v>252</v>
      </c>
      <c r="X148" s="129" t="s">
        <v>253</v>
      </c>
      <c r="Y148" s="129" t="s">
        <v>254</v>
      </c>
      <c r="Z148" s="129" t="s">
        <v>202</v>
      </c>
      <c r="AA148" s="129" t="str">
        <f>""</f>
        <v/>
      </c>
      <c r="AB148" s="129">
        <v>15</v>
      </c>
      <c r="AC148" s="212">
        <f>'PBL OT 2024'!$F$3/POWER(1.02,7)</f>
        <v>8.1771582198120529E-2</v>
      </c>
      <c r="AD148" s="212" t="str">
        <f t="shared" si="22"/>
        <v/>
      </c>
      <c r="AE148" s="241" t="s">
        <v>683</v>
      </c>
      <c r="AF148" s="235">
        <v>1</v>
      </c>
      <c r="AG148" s="129"/>
    </row>
    <row r="149" spans="1:33" ht="15.75" x14ac:dyDescent="0.25">
      <c r="A149" s="129" t="s">
        <v>147</v>
      </c>
      <c r="B149" s="213">
        <v>0.13289999999999999</v>
      </c>
      <c r="C149" s="205">
        <v>6.2600000000000003E-2</v>
      </c>
      <c r="D149" s="212"/>
      <c r="E149" s="205">
        <v>9.3899999999999997E-2</v>
      </c>
      <c r="F149" s="205">
        <v>0.13</v>
      </c>
      <c r="G149" s="245">
        <f t="shared" si="21"/>
        <v>299.99999999999994</v>
      </c>
      <c r="H149" s="212">
        <v>0.14879999999999999</v>
      </c>
      <c r="I149" s="212" t="str">
        <f>""</f>
        <v/>
      </c>
      <c r="J149" s="212"/>
      <c r="K149" s="213"/>
      <c r="L149" s="129">
        <v>8000</v>
      </c>
      <c r="M149" s="129">
        <v>15</v>
      </c>
      <c r="N149" s="203">
        <f t="shared" si="23"/>
        <v>0.10364999999999999</v>
      </c>
      <c r="O149" s="203">
        <f t="shared" si="24"/>
        <v>0.1134</v>
      </c>
      <c r="P149" s="203">
        <f t="shared" si="25"/>
        <v>0.12315</v>
      </c>
      <c r="Q149" s="203">
        <f t="shared" ref="Q149" si="26">MIN($B149,(300*$F149/1000)+$E149)</f>
        <v>0.13289999999999999</v>
      </c>
      <c r="R149" s="129" t="s">
        <v>194</v>
      </c>
      <c r="S149" s="129" t="str">
        <f>""</f>
        <v/>
      </c>
      <c r="T149" s="129" t="s">
        <v>196</v>
      </c>
      <c r="U149" s="129" t="s">
        <v>197</v>
      </c>
      <c r="V149" s="129" t="s">
        <v>198</v>
      </c>
      <c r="W149" s="129" t="s">
        <v>252</v>
      </c>
      <c r="X149" s="129" t="s">
        <v>253</v>
      </c>
      <c r="Y149" s="129" t="s">
        <v>254</v>
      </c>
      <c r="Z149" s="129" t="s">
        <v>202</v>
      </c>
      <c r="AA149" s="129" t="str">
        <f>""</f>
        <v/>
      </c>
      <c r="AB149" s="129">
        <v>15</v>
      </c>
      <c r="AC149" s="212">
        <f>'PBL OT 2024'!$F$3/POWER(1.02,7)</f>
        <v>8.1771582198120529E-2</v>
      </c>
      <c r="AD149" s="212" t="str">
        <f t="shared" si="22"/>
        <v/>
      </c>
      <c r="AE149" s="241" t="s">
        <v>683</v>
      </c>
      <c r="AF149" s="235">
        <v>1</v>
      </c>
      <c r="AG149" s="129"/>
    </row>
    <row r="150" spans="1:33" ht="15" x14ac:dyDescent="0.25">
      <c r="A150" s="129"/>
      <c r="B150" s="213"/>
      <c r="C150" s="205"/>
      <c r="D150" s="212"/>
      <c r="E150" s="205"/>
      <c r="F150" s="205"/>
      <c r="G150" s="245"/>
      <c r="H150" s="212"/>
      <c r="I150" s="212"/>
      <c r="J150" s="212"/>
      <c r="K150" s="212"/>
      <c r="L150" s="129"/>
      <c r="M150" s="129"/>
      <c r="N150" s="203"/>
      <c r="O150" s="203"/>
      <c r="P150" s="203"/>
      <c r="Q150" s="203"/>
      <c r="R150" s="129"/>
      <c r="S150" s="129" t="s">
        <v>249</v>
      </c>
      <c r="T150" s="129"/>
      <c r="U150" s="129"/>
      <c r="V150" s="129"/>
      <c r="W150" s="129"/>
      <c r="X150" s="129"/>
      <c r="Y150" s="129"/>
      <c r="Z150" s="129"/>
      <c r="AA150" s="129"/>
      <c r="AB150" s="129"/>
      <c r="AC150" s="240"/>
      <c r="AD150" s="212"/>
      <c r="AE150" s="212"/>
      <c r="AF150" s="235"/>
      <c r="AG150" s="129"/>
    </row>
    <row r="151" spans="1:33" ht="15" x14ac:dyDescent="0.25">
      <c r="A151" s="206" t="s">
        <v>256</v>
      </c>
      <c r="B151" s="213"/>
      <c r="C151" s="205"/>
      <c r="D151" s="212"/>
      <c r="E151" s="205"/>
      <c r="F151" s="205"/>
      <c r="G151" s="245"/>
      <c r="H151" s="212"/>
      <c r="I151" s="212"/>
      <c r="J151" s="212"/>
      <c r="K151" s="212"/>
      <c r="L151" s="129"/>
      <c r="M151" s="129"/>
      <c r="N151" s="203"/>
      <c r="O151" s="203"/>
      <c r="P151" s="203"/>
      <c r="Q151" s="203"/>
      <c r="R151" s="129"/>
      <c r="S151" s="129" t="s">
        <v>249</v>
      </c>
      <c r="T151" s="129"/>
      <c r="U151" s="129"/>
      <c r="V151" s="129"/>
      <c r="W151" s="129"/>
      <c r="X151" s="129"/>
      <c r="Y151" s="129"/>
      <c r="Z151" s="129"/>
      <c r="AA151" s="129"/>
      <c r="AB151" s="129"/>
      <c r="AC151" s="240"/>
      <c r="AD151" s="212"/>
      <c r="AE151" s="212"/>
      <c r="AF151" s="235"/>
      <c r="AG151" s="129"/>
    </row>
    <row r="152" spans="1:33" ht="15" x14ac:dyDescent="0.25">
      <c r="A152" s="129" t="s">
        <v>724</v>
      </c>
      <c r="B152" s="213">
        <v>0.1077</v>
      </c>
      <c r="C152" s="205">
        <v>2.4E-2</v>
      </c>
      <c r="D152" s="212"/>
      <c r="E152" s="205">
        <v>3.5900000000000001E-2</v>
      </c>
      <c r="F152" s="205">
        <v>0.17960000000000001</v>
      </c>
      <c r="G152" s="245">
        <f t="shared" si="21"/>
        <v>399.7772828507795</v>
      </c>
      <c r="H152" s="212">
        <v>5.6000000000000001E-2</v>
      </c>
      <c r="I152" s="212" t="str">
        <f>""</f>
        <v/>
      </c>
      <c r="J152" s="212"/>
      <c r="K152" s="212">
        <v>4.0000000000000002E-4</v>
      </c>
      <c r="L152" s="129">
        <v>6000</v>
      </c>
      <c r="M152" s="129">
        <v>15</v>
      </c>
      <c r="N152" s="203">
        <f>MIN($B152,(75*$F152/1000)+$E152)</f>
        <v>4.9370000000000004E-2</v>
      </c>
      <c r="O152" s="203">
        <f>MIN($B152,(150*$F152/1000)+$E152)</f>
        <v>6.2840000000000007E-2</v>
      </c>
      <c r="P152" s="203">
        <f>MIN($B152,(225*$F152/1000)+$E152)</f>
        <v>7.6310000000000003E-2</v>
      </c>
      <c r="Q152" s="203">
        <f t="shared" ref="Q152:Q220" si="27">MIN($B152,(300*$F152/1000)+$E152)</f>
        <v>8.9779999999999999E-2</v>
      </c>
      <c r="R152" s="129" t="s">
        <v>195</v>
      </c>
      <c r="S152" s="129" t="str">
        <f>""</f>
        <v/>
      </c>
      <c r="T152" s="129" t="s">
        <v>196</v>
      </c>
      <c r="U152" s="129" t="s">
        <v>197</v>
      </c>
      <c r="V152" s="129" t="s">
        <v>198</v>
      </c>
      <c r="W152" s="129" t="s">
        <v>911</v>
      </c>
      <c r="X152" s="129" t="s">
        <v>206</v>
      </c>
      <c r="Y152" s="129" t="s">
        <v>257</v>
      </c>
      <c r="Z152" s="129" t="s">
        <v>202</v>
      </c>
      <c r="AA152" s="129" t="s">
        <v>258</v>
      </c>
      <c r="AB152" s="129">
        <v>15</v>
      </c>
      <c r="AC152" s="212">
        <f>'PBL OT 2024'!$F$12/POWER(1.02,7)</f>
        <v>3.1295046784292957E-2</v>
      </c>
      <c r="AD152" s="212" t="str">
        <f t="shared" si="22"/>
        <v/>
      </c>
      <c r="AE152" s="212" t="s">
        <v>687</v>
      </c>
      <c r="AF152" s="235">
        <v>17</v>
      </c>
      <c r="AG152" s="129"/>
    </row>
    <row r="153" spans="1:33" ht="15" x14ac:dyDescent="0.25">
      <c r="A153" s="129" t="s">
        <v>725</v>
      </c>
      <c r="B153" s="213">
        <v>7.6899999999999996E-2</v>
      </c>
      <c r="C153" s="205">
        <v>2.4E-2</v>
      </c>
      <c r="D153" s="212"/>
      <c r="E153" s="205">
        <v>3.5900000000000001E-2</v>
      </c>
      <c r="F153" s="205">
        <v>0.18779999999999999</v>
      </c>
      <c r="G153" s="245">
        <f t="shared" si="21"/>
        <v>218.31735889243873</v>
      </c>
      <c r="H153" s="212">
        <v>5.6000000000000001E-2</v>
      </c>
      <c r="I153" s="212" t="str">
        <f>""</f>
        <v/>
      </c>
      <c r="J153" s="212"/>
      <c r="K153" s="212">
        <v>4.0000000000000002E-4</v>
      </c>
      <c r="L153" s="129">
        <v>6000</v>
      </c>
      <c r="M153" s="129">
        <v>15</v>
      </c>
      <c r="N153" s="203">
        <f t="shared" ref="N153:N156" si="28">MIN($B153,(75*$F153/1000)+$E153)</f>
        <v>4.9985000000000002E-2</v>
      </c>
      <c r="O153" s="203">
        <f t="shared" ref="O153:O156" si="29">MIN($B153,(150*$F153/1000)+$E153)</f>
        <v>6.4070000000000002E-2</v>
      </c>
      <c r="P153" s="203">
        <f t="shared" ref="P153:P156" si="30">MIN($B153,(225*$F153/1000)+$E153)</f>
        <v>7.6899999999999996E-2</v>
      </c>
      <c r="Q153" s="203">
        <f t="shared" si="27"/>
        <v>7.6899999999999996E-2</v>
      </c>
      <c r="R153" s="129" t="s">
        <v>195</v>
      </c>
      <c r="S153" s="129" t="str">
        <f>""</f>
        <v/>
      </c>
      <c r="T153" s="129" t="s">
        <v>196</v>
      </c>
      <c r="U153" s="129" t="s">
        <v>197</v>
      </c>
      <c r="V153" s="129" t="s">
        <v>198</v>
      </c>
      <c r="W153" s="129" t="s">
        <v>911</v>
      </c>
      <c r="X153" s="129" t="s">
        <v>206</v>
      </c>
      <c r="Y153" s="129" t="s">
        <v>257</v>
      </c>
      <c r="Z153" s="129" t="s">
        <v>202</v>
      </c>
      <c r="AA153" s="129" t="s">
        <v>259</v>
      </c>
      <c r="AB153" s="129">
        <v>15</v>
      </c>
      <c r="AC153" s="212">
        <f>'PBL OT 2024'!$F$12/POWER(1.02,7)</f>
        <v>3.1295046784292957E-2</v>
      </c>
      <c r="AD153" s="212" t="str">
        <f t="shared" si="22"/>
        <v/>
      </c>
      <c r="AE153" s="212" t="s">
        <v>687</v>
      </c>
      <c r="AF153" s="235">
        <v>17</v>
      </c>
      <c r="AG153" s="129"/>
    </row>
    <row r="154" spans="1:33" ht="15" x14ac:dyDescent="0.25">
      <c r="A154" s="129" t="s">
        <v>901</v>
      </c>
      <c r="B154" s="213">
        <v>9.1700000000000004E-2</v>
      </c>
      <c r="C154" s="205">
        <v>2.4E-2</v>
      </c>
      <c r="D154" s="212"/>
      <c r="E154" s="205">
        <v>3.5900000000000001E-2</v>
      </c>
      <c r="F154" s="205">
        <v>0.19040000000000001</v>
      </c>
      <c r="G154" s="245">
        <f t="shared" si="21"/>
        <v>293.06722689075633</v>
      </c>
      <c r="H154" s="212">
        <v>5.6000000000000001E-2</v>
      </c>
      <c r="I154" s="212" t="str">
        <f>""</f>
        <v/>
      </c>
      <c r="J154" s="212"/>
      <c r="K154" s="212">
        <v>4.0000000000000002E-4</v>
      </c>
      <c r="L154" s="129">
        <v>6000</v>
      </c>
      <c r="M154" s="129">
        <v>15</v>
      </c>
      <c r="N154" s="203">
        <f t="shared" si="28"/>
        <v>5.0180000000000002E-2</v>
      </c>
      <c r="O154" s="203">
        <f t="shared" si="29"/>
        <v>6.4460000000000003E-2</v>
      </c>
      <c r="P154" s="203">
        <f t="shared" si="30"/>
        <v>7.8740000000000004E-2</v>
      </c>
      <c r="Q154" s="203">
        <f t="shared" si="27"/>
        <v>9.1700000000000004E-2</v>
      </c>
      <c r="R154" s="129" t="s">
        <v>195</v>
      </c>
      <c r="S154" s="129" t="str">
        <f>""</f>
        <v/>
      </c>
      <c r="T154" s="129" t="s">
        <v>196</v>
      </c>
      <c r="U154" s="129" t="s">
        <v>197</v>
      </c>
      <c r="V154" s="129" t="s">
        <v>198</v>
      </c>
      <c r="W154" s="129" t="s">
        <v>910</v>
      </c>
      <c r="X154" s="129" t="s">
        <v>206</v>
      </c>
      <c r="Y154" s="129" t="s">
        <v>257</v>
      </c>
      <c r="Z154" s="129" t="s">
        <v>202</v>
      </c>
      <c r="AA154" s="129" t="s">
        <v>902</v>
      </c>
      <c r="AB154" s="129">
        <v>15</v>
      </c>
      <c r="AC154" s="212">
        <f>'PBL OT 2024'!$F$12/POWER(1.02,7)</f>
        <v>3.1295046784292957E-2</v>
      </c>
      <c r="AD154" s="212" t="str">
        <f t="shared" si="22"/>
        <v/>
      </c>
      <c r="AE154" s="212" t="s">
        <v>687</v>
      </c>
      <c r="AF154" s="235">
        <v>17</v>
      </c>
      <c r="AG154" s="129"/>
    </row>
    <row r="155" spans="1:33" ht="15" x14ac:dyDescent="0.25">
      <c r="A155" s="129" t="s">
        <v>900</v>
      </c>
      <c r="B155" s="213">
        <v>0.108</v>
      </c>
      <c r="C155" s="205">
        <v>2.4E-2</v>
      </c>
      <c r="D155" s="212"/>
      <c r="E155" s="205">
        <v>3.5900000000000001E-2</v>
      </c>
      <c r="F155" s="205">
        <v>0.18029999999999999</v>
      </c>
      <c r="G155" s="245">
        <f t="shared" si="21"/>
        <v>399.88907376594562</v>
      </c>
      <c r="H155" s="212">
        <v>5.6000000000000001E-2</v>
      </c>
      <c r="I155" s="212" t="str">
        <f>""</f>
        <v/>
      </c>
      <c r="J155" s="212"/>
      <c r="K155" s="212">
        <v>4.0000000000000002E-4</v>
      </c>
      <c r="L155" s="129">
        <v>3500</v>
      </c>
      <c r="M155" s="129">
        <v>15</v>
      </c>
      <c r="N155" s="203">
        <f t="shared" si="28"/>
        <v>4.9422500000000001E-2</v>
      </c>
      <c r="O155" s="203">
        <f t="shared" si="29"/>
        <v>6.2945000000000001E-2</v>
      </c>
      <c r="P155" s="203">
        <f t="shared" si="30"/>
        <v>7.6467499999999994E-2</v>
      </c>
      <c r="Q155" s="203">
        <f t="shared" si="27"/>
        <v>8.9990000000000001E-2</v>
      </c>
      <c r="R155" s="129" t="s">
        <v>195</v>
      </c>
      <c r="S155" s="129" t="str">
        <f>""</f>
        <v/>
      </c>
      <c r="T155" s="129" t="s">
        <v>196</v>
      </c>
      <c r="U155" s="129" t="s">
        <v>197</v>
      </c>
      <c r="V155" s="129" t="s">
        <v>198</v>
      </c>
      <c r="W155" s="129" t="s">
        <v>911</v>
      </c>
      <c r="X155" s="129" t="s">
        <v>206</v>
      </c>
      <c r="Y155" s="129" t="s">
        <v>257</v>
      </c>
      <c r="Z155" s="129" t="s">
        <v>202</v>
      </c>
      <c r="AA155" s="129" t="s">
        <v>903</v>
      </c>
      <c r="AB155" s="129">
        <v>15</v>
      </c>
      <c r="AC155" s="212">
        <f>'PBL OT 2024'!$F$12/POWER(1.02,7)</f>
        <v>3.1295046784292957E-2</v>
      </c>
      <c r="AD155" s="212" t="str">
        <f t="shared" si="22"/>
        <v/>
      </c>
      <c r="AE155" s="212" t="s">
        <v>687</v>
      </c>
      <c r="AF155" s="235">
        <v>17</v>
      </c>
      <c r="AG155" s="129"/>
    </row>
    <row r="156" spans="1:33" ht="15" x14ac:dyDescent="0.25">
      <c r="A156" s="129" t="s">
        <v>726</v>
      </c>
      <c r="B156" s="213">
        <v>9.2799999999999994E-2</v>
      </c>
      <c r="C156" s="205">
        <v>2.4E-2</v>
      </c>
      <c r="D156" s="212"/>
      <c r="E156" s="205">
        <v>3.5900000000000001E-2</v>
      </c>
      <c r="F156" s="205">
        <v>0.1817</v>
      </c>
      <c r="G156" s="245">
        <f t="shared" si="21"/>
        <v>313.15354980737476</v>
      </c>
      <c r="H156" s="212">
        <v>5.6000000000000001E-2</v>
      </c>
      <c r="I156" s="212" t="str">
        <f>""</f>
        <v/>
      </c>
      <c r="J156" s="212"/>
      <c r="K156" s="212">
        <v>4.0000000000000002E-4</v>
      </c>
      <c r="L156" s="129">
        <v>3500</v>
      </c>
      <c r="M156" s="129">
        <v>15</v>
      </c>
      <c r="N156" s="203">
        <f t="shared" si="28"/>
        <v>4.9527500000000002E-2</v>
      </c>
      <c r="O156" s="203">
        <f t="shared" si="29"/>
        <v>6.3155000000000003E-2</v>
      </c>
      <c r="P156" s="203">
        <f t="shared" si="30"/>
        <v>7.6782500000000004E-2</v>
      </c>
      <c r="Q156" s="203">
        <f t="shared" si="27"/>
        <v>9.040999999999999E-2</v>
      </c>
      <c r="R156" s="129" t="s">
        <v>195</v>
      </c>
      <c r="S156" s="129" t="str">
        <f>""</f>
        <v/>
      </c>
      <c r="T156" s="129" t="s">
        <v>196</v>
      </c>
      <c r="U156" s="129" t="s">
        <v>197</v>
      </c>
      <c r="V156" s="129" t="s">
        <v>198</v>
      </c>
      <c r="W156" s="129" t="s">
        <v>911</v>
      </c>
      <c r="X156" s="129" t="s">
        <v>206</v>
      </c>
      <c r="Y156" s="129" t="s">
        <v>257</v>
      </c>
      <c r="Z156" s="129" t="s">
        <v>202</v>
      </c>
      <c r="AA156" s="129" t="s">
        <v>233</v>
      </c>
      <c r="AB156" s="129">
        <v>15</v>
      </c>
      <c r="AC156" s="212">
        <f>'PBL OT 2024'!$F$12/POWER(1.02,7)</f>
        <v>3.1295046784292957E-2</v>
      </c>
      <c r="AD156" s="212" t="str">
        <f t="shared" si="22"/>
        <v/>
      </c>
      <c r="AE156" s="212" t="s">
        <v>687</v>
      </c>
      <c r="AF156" s="235">
        <v>17</v>
      </c>
      <c r="AG156" s="129"/>
    </row>
    <row r="157" spans="1:33" ht="15" x14ac:dyDescent="0.25">
      <c r="A157" s="129"/>
      <c r="B157" s="213"/>
      <c r="C157" s="205"/>
      <c r="D157" s="212"/>
      <c r="E157" s="205"/>
      <c r="F157" s="205"/>
      <c r="G157" s="245"/>
      <c r="H157" s="212"/>
      <c r="I157" s="212"/>
      <c r="J157" s="212"/>
      <c r="K157" s="212"/>
      <c r="L157" s="129"/>
      <c r="M157" s="129"/>
      <c r="N157" s="203"/>
      <c r="O157" s="203"/>
      <c r="P157" s="203"/>
      <c r="Q157" s="203"/>
      <c r="R157" s="129"/>
      <c r="S157" s="129"/>
      <c r="T157" s="129"/>
      <c r="U157" s="129"/>
      <c r="V157" s="129"/>
      <c r="W157" s="129"/>
      <c r="X157" s="129"/>
      <c r="Y157" s="129"/>
      <c r="Z157" s="129"/>
      <c r="AA157" s="129"/>
      <c r="AB157" s="129"/>
      <c r="AC157" s="240"/>
      <c r="AD157" s="212"/>
      <c r="AE157" s="212"/>
      <c r="AF157" s="236"/>
      <c r="AG157" s="129"/>
    </row>
    <row r="158" spans="1:33" ht="15" x14ac:dyDescent="0.25">
      <c r="A158" s="206" t="s">
        <v>509</v>
      </c>
      <c r="B158" s="213"/>
      <c r="C158" s="205"/>
      <c r="D158" s="212"/>
      <c r="E158" s="205"/>
      <c r="F158" s="205"/>
      <c r="G158" s="245"/>
      <c r="H158" s="212"/>
      <c r="I158" s="212"/>
      <c r="J158" s="212"/>
      <c r="K158" s="212"/>
      <c r="L158" s="129"/>
      <c r="M158" s="129"/>
      <c r="N158" s="203"/>
      <c r="O158" s="203"/>
      <c r="P158" s="203"/>
      <c r="Q158" s="203"/>
      <c r="R158" s="129"/>
      <c r="S158" s="129"/>
      <c r="T158" s="129"/>
      <c r="U158" s="129"/>
      <c r="V158" s="129"/>
      <c r="W158" s="129"/>
      <c r="X158" s="129"/>
      <c r="Y158" s="129"/>
      <c r="Z158" s="129"/>
      <c r="AA158" s="129"/>
      <c r="AB158" s="129"/>
      <c r="AC158" s="240"/>
      <c r="AD158" s="212"/>
      <c r="AE158" s="212"/>
      <c r="AF158" s="236"/>
      <c r="AG158" s="129"/>
    </row>
    <row r="159" spans="1:33" ht="15" x14ac:dyDescent="0.25">
      <c r="A159" s="129" t="s">
        <v>904</v>
      </c>
      <c r="B159" s="213">
        <v>0.13474000000000003</v>
      </c>
      <c r="C159" s="205">
        <v>4.4499999999999998E-2</v>
      </c>
      <c r="D159" s="212"/>
      <c r="E159" s="205">
        <v>6.3500000000000001E-2</v>
      </c>
      <c r="F159" s="205">
        <v>0.17810000000000001</v>
      </c>
      <c r="G159" s="245">
        <f t="shared" si="21"/>
        <v>400.00000000000011</v>
      </c>
      <c r="H159" s="212">
        <v>9.5299999999999996E-2</v>
      </c>
      <c r="I159" s="212"/>
      <c r="J159" s="212"/>
      <c r="K159" s="212">
        <v>4.0000000000000002E-4</v>
      </c>
      <c r="L159" s="129">
        <v>3500</v>
      </c>
      <c r="M159" s="129">
        <v>15</v>
      </c>
      <c r="N159" s="203">
        <f>MIN($B159,(75*$F159/1000)+$E159)</f>
        <v>7.6857499999999995E-2</v>
      </c>
      <c r="O159" s="203">
        <f>MIN($B159,(150*$F159/1000)+$E159)</f>
        <v>9.0215000000000004E-2</v>
      </c>
      <c r="P159" s="203">
        <f>MIN($B159,(225*$F159/1000)+$E159)</f>
        <v>0.10357250000000001</v>
      </c>
      <c r="Q159" s="203">
        <f t="shared" si="27"/>
        <v>0.11693000000000001</v>
      </c>
      <c r="R159" s="129" t="s">
        <v>195</v>
      </c>
      <c r="S159" s="129" t="s">
        <v>249</v>
      </c>
      <c r="T159" s="129" t="s">
        <v>196</v>
      </c>
      <c r="U159" s="129" t="s">
        <v>197</v>
      </c>
      <c r="V159" s="129" t="s">
        <v>198</v>
      </c>
      <c r="W159" s="129" t="s">
        <v>895</v>
      </c>
      <c r="X159" s="129" t="s">
        <v>206</v>
      </c>
      <c r="Y159" s="129" t="s">
        <v>257</v>
      </c>
      <c r="Z159" s="129" t="s">
        <v>202</v>
      </c>
      <c r="AA159" s="129" t="s">
        <v>905</v>
      </c>
      <c r="AB159" s="129">
        <v>15</v>
      </c>
      <c r="AC159" s="212">
        <f>('PBL OT 2024'!$F$25/POWER(1.02,7)+'PBL OT 2024'!$D$72)/90%</f>
        <v>5.6131549473300332E-2</v>
      </c>
      <c r="AD159" s="212" t="str">
        <f t="shared" si="22"/>
        <v/>
      </c>
      <c r="AE159" s="212" t="s">
        <v>684</v>
      </c>
      <c r="AF159" s="235">
        <v>16</v>
      </c>
      <c r="AG159" s="129"/>
    </row>
    <row r="160" spans="1:33" ht="15" x14ac:dyDescent="0.25">
      <c r="A160" s="129" t="s">
        <v>723</v>
      </c>
      <c r="B160" s="213">
        <v>6.9400000000000003E-2</v>
      </c>
      <c r="C160" s="205">
        <v>2.4E-2</v>
      </c>
      <c r="D160" s="212"/>
      <c r="E160" s="205">
        <v>3.5900000000000001E-2</v>
      </c>
      <c r="F160" s="205">
        <v>0.18970000000000001</v>
      </c>
      <c r="G160" s="245">
        <f t="shared" si="21"/>
        <v>176.59462308908803</v>
      </c>
      <c r="H160" s="212">
        <v>5.6000000000000001E-2</v>
      </c>
      <c r="I160" s="212"/>
      <c r="J160" s="212"/>
      <c r="K160" s="212">
        <v>4.0000000000000002E-4</v>
      </c>
      <c r="L160" s="129">
        <v>3500</v>
      </c>
      <c r="M160" s="129">
        <v>15</v>
      </c>
      <c r="N160" s="203">
        <f>MIN($B160,(75*$F160/1000)+$E160)</f>
        <v>5.0127500000000005E-2</v>
      </c>
      <c r="O160" s="203">
        <f>MIN($B160,(150*$F160/1000)+$E160)</f>
        <v>6.4354999999999996E-2</v>
      </c>
      <c r="P160" s="203">
        <f>MIN($B160,(225*$F160/1000)+$E160)</f>
        <v>6.9400000000000003E-2</v>
      </c>
      <c r="Q160" s="203">
        <f t="shared" si="27"/>
        <v>6.9400000000000003E-2</v>
      </c>
      <c r="R160" s="129" t="s">
        <v>195</v>
      </c>
      <c r="S160" s="129"/>
      <c r="T160" s="129" t="s">
        <v>196</v>
      </c>
      <c r="U160" s="129" t="s">
        <v>197</v>
      </c>
      <c r="V160" s="129" t="s">
        <v>198</v>
      </c>
      <c r="W160" s="129" t="s">
        <v>896</v>
      </c>
      <c r="X160" s="129" t="s">
        <v>206</v>
      </c>
      <c r="Y160" s="129" t="s">
        <v>257</v>
      </c>
      <c r="Z160" s="129" t="s">
        <v>202</v>
      </c>
      <c r="AA160" s="129" t="s">
        <v>697</v>
      </c>
      <c r="AB160" s="129">
        <v>15</v>
      </c>
      <c r="AC160" s="212">
        <f>'PBL OT 2024'!$F$12/POWER(1.02,7)</f>
        <v>3.1295046784292957E-2</v>
      </c>
      <c r="AD160" s="212" t="str">
        <f t="shared" si="22"/>
        <v/>
      </c>
      <c r="AE160" s="212" t="s">
        <v>684</v>
      </c>
      <c r="AF160" s="235">
        <v>17</v>
      </c>
      <c r="AG160" s="129"/>
    </row>
    <row r="161" spans="1:33" ht="15" x14ac:dyDescent="0.25">
      <c r="A161" s="129"/>
      <c r="B161" s="213"/>
      <c r="C161" s="205"/>
      <c r="D161" s="212"/>
      <c r="E161" s="205"/>
      <c r="F161" s="205"/>
      <c r="G161" s="245"/>
      <c r="H161" s="212"/>
      <c r="I161" s="212"/>
      <c r="J161" s="212"/>
      <c r="K161" s="212"/>
      <c r="L161" s="129"/>
      <c r="M161" s="129"/>
      <c r="N161" s="203"/>
      <c r="O161" s="203"/>
      <c r="P161" s="203"/>
      <c r="Q161" s="203"/>
      <c r="R161" s="129"/>
      <c r="S161" s="129"/>
      <c r="T161" s="129"/>
      <c r="U161" s="129"/>
      <c r="V161" s="129"/>
      <c r="W161" s="129"/>
      <c r="X161" s="129"/>
      <c r="Y161" s="129"/>
      <c r="Z161" s="129"/>
      <c r="AA161" s="129"/>
      <c r="AB161" s="129"/>
      <c r="AC161" s="240"/>
      <c r="AD161" s="212"/>
      <c r="AE161" s="212"/>
      <c r="AF161" s="236"/>
      <c r="AG161" s="129"/>
    </row>
    <row r="162" spans="1:33" ht="15" x14ac:dyDescent="0.25">
      <c r="A162" s="206" t="s">
        <v>149</v>
      </c>
      <c r="B162" s="215"/>
      <c r="C162" s="205"/>
      <c r="D162" s="212"/>
      <c r="E162" s="205"/>
      <c r="F162" s="205"/>
      <c r="G162" s="245"/>
      <c r="H162" s="212"/>
      <c r="I162" s="212"/>
      <c r="J162" s="212"/>
      <c r="K162" s="212"/>
      <c r="L162" s="129"/>
      <c r="M162" s="129"/>
      <c r="N162" s="203"/>
      <c r="O162" s="203"/>
      <c r="P162" s="203"/>
      <c r="Q162" s="203"/>
      <c r="R162" s="129"/>
      <c r="S162" s="129" t="s">
        <v>249</v>
      </c>
      <c r="T162" s="129"/>
      <c r="U162" s="129"/>
      <c r="V162" s="129"/>
      <c r="W162" s="129"/>
      <c r="X162" s="129"/>
      <c r="Y162" s="129"/>
      <c r="Z162" s="129"/>
      <c r="AA162" s="129"/>
      <c r="AB162" s="129"/>
      <c r="AC162" s="240"/>
      <c r="AD162" s="212"/>
      <c r="AE162" s="212"/>
      <c r="AF162" s="236"/>
      <c r="AG162" s="129"/>
    </row>
    <row r="163" spans="1:33" ht="15" x14ac:dyDescent="0.25">
      <c r="A163" s="129" t="s">
        <v>260</v>
      </c>
      <c r="B163" s="213">
        <v>4.8000000000000001E-2</v>
      </c>
      <c r="C163" s="205">
        <v>4.1000000000000002E-2</v>
      </c>
      <c r="D163" s="212"/>
      <c r="E163" s="205">
        <v>6.54E-2</v>
      </c>
      <c r="F163" s="205">
        <v>0.10929999999999999</v>
      </c>
      <c r="G163" s="245">
        <f t="shared" si="21"/>
        <v>-159.19487648673376</v>
      </c>
      <c r="H163" s="212">
        <f>0.1109+J163</f>
        <v>0.1149</v>
      </c>
      <c r="I163" s="212" t="str">
        <f>""</f>
        <v/>
      </c>
      <c r="J163" s="212">
        <v>4.0000000000000001E-3</v>
      </c>
      <c r="K163" s="213"/>
      <c r="L163" s="219">
        <v>8766</v>
      </c>
      <c r="M163" s="129">
        <v>15</v>
      </c>
      <c r="N163" s="203">
        <f>MIN($B163,(75*$F163/1000)+$E163)</f>
        <v>4.8000000000000001E-2</v>
      </c>
      <c r="O163" s="203">
        <f>MIN($B163,(150*$F163/1000)+$E163)</f>
        <v>4.8000000000000001E-2</v>
      </c>
      <c r="P163" s="203">
        <f>MIN($B163,(225*$F163/1000)+$E163)</f>
        <v>4.8000000000000001E-2</v>
      </c>
      <c r="Q163" s="203">
        <f t="shared" si="27"/>
        <v>4.8000000000000001E-2</v>
      </c>
      <c r="R163" s="129" t="s">
        <v>194</v>
      </c>
      <c r="S163" s="129" t="str">
        <f>""</f>
        <v/>
      </c>
      <c r="T163" s="129" t="s">
        <v>196</v>
      </c>
      <c r="U163" s="129" t="s">
        <v>197</v>
      </c>
      <c r="V163" s="129" t="s">
        <v>198</v>
      </c>
      <c r="W163" s="129" t="s">
        <v>261</v>
      </c>
      <c r="X163" s="129" t="s">
        <v>253</v>
      </c>
      <c r="Y163" s="129" t="s">
        <v>262</v>
      </c>
      <c r="Z163" s="129" t="s">
        <v>202</v>
      </c>
      <c r="AA163" s="129" t="str">
        <f>""</f>
        <v/>
      </c>
      <c r="AB163" s="129">
        <v>20</v>
      </c>
      <c r="AC163" s="212">
        <f>'PBL OT 2024'!$F$4/POWER(1.02,7)+'PBL OT 2024'!$D$34</f>
        <v>5.7479650973715338E-2</v>
      </c>
      <c r="AD163" s="212" t="b">
        <f t="shared" si="22"/>
        <v>0</v>
      </c>
      <c r="AE163" s="212" t="s">
        <v>699</v>
      </c>
      <c r="AF163" s="235">
        <v>4</v>
      </c>
      <c r="AG163" s="129" t="b">
        <f>IF(AC163*POWER(1.02,14)&lt;=B163+0.018,FALSE,TRUE)</f>
        <v>1</v>
      </c>
    </row>
    <row r="164" spans="1:33" ht="15" x14ac:dyDescent="0.25">
      <c r="A164" s="129" t="s">
        <v>263</v>
      </c>
      <c r="B164" s="213">
        <v>5.04E-2</v>
      </c>
      <c r="C164" s="205">
        <v>4.1000000000000002E-2</v>
      </c>
      <c r="D164" s="212"/>
      <c r="E164" s="205">
        <v>6.54E-2</v>
      </c>
      <c r="F164" s="205">
        <v>0.10929999999999999</v>
      </c>
      <c r="G164" s="245">
        <f t="shared" si="21"/>
        <v>-137.23696248856359</v>
      </c>
      <c r="H164" s="212">
        <f t="shared" ref="H164:H180" si="31">0.1109+J164</f>
        <v>0.1149</v>
      </c>
      <c r="I164" s="212" t="str">
        <f>""</f>
        <v/>
      </c>
      <c r="J164" s="212">
        <v>4.0000000000000001E-3</v>
      </c>
      <c r="K164" s="213"/>
      <c r="L164" s="219">
        <v>8766</v>
      </c>
      <c r="M164" s="129">
        <v>15</v>
      </c>
      <c r="N164" s="203">
        <f t="shared" ref="N164:N180" si="32">MIN($B164,(75*$F164/1000)+$E164)</f>
        <v>5.04E-2</v>
      </c>
      <c r="O164" s="203">
        <f t="shared" ref="O164:O180" si="33">MIN($B164,(150*$F164/1000)+$E164)</f>
        <v>5.04E-2</v>
      </c>
      <c r="P164" s="203">
        <f t="shared" ref="P164:P180" si="34">MIN($B164,(225*$F164/1000)+$E164)</f>
        <v>5.04E-2</v>
      </c>
      <c r="Q164" s="203">
        <f t="shared" si="27"/>
        <v>5.04E-2</v>
      </c>
      <c r="R164" s="129" t="s">
        <v>194</v>
      </c>
      <c r="S164" s="129" t="str">
        <f>""</f>
        <v/>
      </c>
      <c r="T164" s="129" t="s">
        <v>196</v>
      </c>
      <c r="U164" s="129" t="s">
        <v>197</v>
      </c>
      <c r="V164" s="129" t="s">
        <v>198</v>
      </c>
      <c r="W164" s="129" t="s">
        <v>261</v>
      </c>
      <c r="X164" s="129" t="s">
        <v>253</v>
      </c>
      <c r="Y164" s="129" t="s">
        <v>262</v>
      </c>
      <c r="Z164" s="129" t="s">
        <v>202</v>
      </c>
      <c r="AA164" s="129" t="str">
        <f>""</f>
        <v/>
      </c>
      <c r="AB164" s="129">
        <v>20</v>
      </c>
      <c r="AC164" s="212">
        <f>'PBL OT 2024'!$F$4/POWER(1.02,7)+'PBL OT 2024'!$D$34</f>
        <v>5.7479650973715338E-2</v>
      </c>
      <c r="AD164" s="212" t="b">
        <f t="shared" si="22"/>
        <v>0</v>
      </c>
      <c r="AE164" s="212" t="s">
        <v>699</v>
      </c>
      <c r="AF164" s="235">
        <v>4</v>
      </c>
      <c r="AG164" s="129" t="b">
        <f t="shared" ref="AG164:AG199" si="35">IF(AC164*POWER(1.02,14)&lt;=B164+0.018,FALSE,TRUE)</f>
        <v>1</v>
      </c>
    </row>
    <row r="165" spans="1:33" ht="15" x14ac:dyDescent="0.25">
      <c r="A165" s="129" t="s">
        <v>264</v>
      </c>
      <c r="B165" s="213">
        <v>5.6099999999999997E-2</v>
      </c>
      <c r="C165" s="205">
        <v>4.1000000000000002E-2</v>
      </c>
      <c r="D165" s="212"/>
      <c r="E165" s="205">
        <v>6.54E-2</v>
      </c>
      <c r="F165" s="205">
        <v>0.10929999999999999</v>
      </c>
      <c r="G165" s="245">
        <f t="shared" si="21"/>
        <v>-85.086916742909452</v>
      </c>
      <c r="H165" s="212">
        <f t="shared" si="31"/>
        <v>0.1149</v>
      </c>
      <c r="I165" s="212" t="str">
        <f>""</f>
        <v/>
      </c>
      <c r="J165" s="212">
        <v>4.0000000000000001E-3</v>
      </c>
      <c r="K165" s="213"/>
      <c r="L165" s="219">
        <v>8766</v>
      </c>
      <c r="M165" s="129">
        <v>15</v>
      </c>
      <c r="N165" s="203">
        <f t="shared" si="32"/>
        <v>5.6099999999999997E-2</v>
      </c>
      <c r="O165" s="203">
        <f t="shared" si="33"/>
        <v>5.6099999999999997E-2</v>
      </c>
      <c r="P165" s="203">
        <f t="shared" si="34"/>
        <v>5.6099999999999997E-2</v>
      </c>
      <c r="Q165" s="203">
        <f t="shared" si="27"/>
        <v>5.6099999999999997E-2</v>
      </c>
      <c r="R165" s="129" t="s">
        <v>194</v>
      </c>
      <c r="S165" s="129" t="str">
        <f>""</f>
        <v/>
      </c>
      <c r="T165" s="129" t="s">
        <v>196</v>
      </c>
      <c r="U165" s="129" t="s">
        <v>197</v>
      </c>
      <c r="V165" s="129" t="s">
        <v>198</v>
      </c>
      <c r="W165" s="129" t="s">
        <v>261</v>
      </c>
      <c r="X165" s="129" t="s">
        <v>253</v>
      </c>
      <c r="Y165" s="129" t="s">
        <v>262</v>
      </c>
      <c r="Z165" s="129" t="s">
        <v>202</v>
      </c>
      <c r="AA165" s="129" t="str">
        <f>""</f>
        <v/>
      </c>
      <c r="AB165" s="129">
        <v>20</v>
      </c>
      <c r="AC165" s="212">
        <f>'PBL OT 2024'!$F$4/POWER(1.02,7)+'PBL OT 2024'!$D$34</f>
        <v>5.7479650973715338E-2</v>
      </c>
      <c r="AD165" s="212" t="b">
        <f t="shared" si="22"/>
        <v>0</v>
      </c>
      <c r="AE165" s="212" t="s">
        <v>699</v>
      </c>
      <c r="AF165" s="235">
        <v>4</v>
      </c>
      <c r="AG165" s="129" t="b">
        <f t="shared" si="35"/>
        <v>1</v>
      </c>
    </row>
    <row r="166" spans="1:33" ht="15" x14ac:dyDescent="0.25">
      <c r="A166" s="129" t="s">
        <v>265</v>
      </c>
      <c r="B166" s="213">
        <v>6.1800000000000001E-2</v>
      </c>
      <c r="C166" s="205">
        <v>4.1000000000000002E-2</v>
      </c>
      <c r="D166" s="212"/>
      <c r="E166" s="205">
        <v>6.54E-2</v>
      </c>
      <c r="F166" s="205">
        <v>0.10929999999999999</v>
      </c>
      <c r="G166" s="245">
        <f t="shared" si="21"/>
        <v>-32.936870997255255</v>
      </c>
      <c r="H166" s="212">
        <f t="shared" si="31"/>
        <v>0.1149</v>
      </c>
      <c r="I166" s="212" t="str">
        <f>""</f>
        <v/>
      </c>
      <c r="J166" s="212">
        <v>4.0000000000000001E-3</v>
      </c>
      <c r="K166" s="213"/>
      <c r="L166" s="219">
        <v>8766</v>
      </c>
      <c r="M166" s="129">
        <v>15</v>
      </c>
      <c r="N166" s="203">
        <f t="shared" si="32"/>
        <v>6.1800000000000001E-2</v>
      </c>
      <c r="O166" s="203">
        <f t="shared" si="33"/>
        <v>6.1800000000000001E-2</v>
      </c>
      <c r="P166" s="203">
        <f t="shared" si="34"/>
        <v>6.1800000000000001E-2</v>
      </c>
      <c r="Q166" s="203">
        <f t="shared" si="27"/>
        <v>6.1800000000000001E-2</v>
      </c>
      <c r="R166" s="129" t="s">
        <v>194</v>
      </c>
      <c r="S166" s="129" t="str">
        <f>""</f>
        <v/>
      </c>
      <c r="T166" s="129" t="s">
        <v>196</v>
      </c>
      <c r="U166" s="129" t="s">
        <v>197</v>
      </c>
      <c r="V166" s="129" t="s">
        <v>198</v>
      </c>
      <c r="W166" s="129" t="s">
        <v>261</v>
      </c>
      <c r="X166" s="129" t="s">
        <v>253</v>
      </c>
      <c r="Y166" s="129" t="s">
        <v>262</v>
      </c>
      <c r="Z166" s="129" t="s">
        <v>202</v>
      </c>
      <c r="AA166" s="129" t="str">
        <f>""</f>
        <v/>
      </c>
      <c r="AB166" s="129">
        <v>20</v>
      </c>
      <c r="AC166" s="212">
        <f>'PBL OT 2024'!$F$4/POWER(1.02,7)+'PBL OT 2024'!$D$34</f>
        <v>5.7479650973715338E-2</v>
      </c>
      <c r="AD166" s="212" t="str">
        <f t="shared" si="22"/>
        <v/>
      </c>
      <c r="AE166" s="212" t="s">
        <v>699</v>
      </c>
      <c r="AF166" s="235">
        <v>4</v>
      </c>
      <c r="AG166" s="129" t="b">
        <f t="shared" si="35"/>
        <v>0</v>
      </c>
    </row>
    <row r="167" spans="1:33" ht="15" x14ac:dyDescent="0.25">
      <c r="A167" s="129" t="s">
        <v>266</v>
      </c>
      <c r="B167" s="213">
        <v>6.6199999999999995E-2</v>
      </c>
      <c r="C167" s="205">
        <v>4.1000000000000002E-2</v>
      </c>
      <c r="D167" s="212"/>
      <c r="E167" s="205">
        <v>6.54E-2</v>
      </c>
      <c r="F167" s="205">
        <v>0.10929999999999999</v>
      </c>
      <c r="G167" s="245">
        <f t="shared" si="21"/>
        <v>7.3193046660566807</v>
      </c>
      <c r="H167" s="212">
        <f t="shared" si="31"/>
        <v>0.1149</v>
      </c>
      <c r="I167" s="212" t="str">
        <f>""</f>
        <v/>
      </c>
      <c r="J167" s="212">
        <v>4.0000000000000001E-3</v>
      </c>
      <c r="K167" s="213"/>
      <c r="L167" s="219">
        <v>8766</v>
      </c>
      <c r="M167" s="129">
        <v>15</v>
      </c>
      <c r="N167" s="203">
        <f t="shared" si="32"/>
        <v>6.6199999999999995E-2</v>
      </c>
      <c r="O167" s="203">
        <f t="shared" si="33"/>
        <v>6.6199999999999995E-2</v>
      </c>
      <c r="P167" s="203">
        <f t="shared" si="34"/>
        <v>6.6199999999999995E-2</v>
      </c>
      <c r="Q167" s="203">
        <f t="shared" si="27"/>
        <v>6.6199999999999995E-2</v>
      </c>
      <c r="R167" s="129" t="s">
        <v>194</v>
      </c>
      <c r="S167" s="129" t="str">
        <f>""</f>
        <v/>
      </c>
      <c r="T167" s="129" t="s">
        <v>196</v>
      </c>
      <c r="U167" s="129" t="s">
        <v>197</v>
      </c>
      <c r="V167" s="129" t="s">
        <v>198</v>
      </c>
      <c r="W167" s="129" t="s">
        <v>261</v>
      </c>
      <c r="X167" s="129" t="s">
        <v>253</v>
      </c>
      <c r="Y167" s="129" t="s">
        <v>262</v>
      </c>
      <c r="Z167" s="129" t="s">
        <v>202</v>
      </c>
      <c r="AA167" s="129" t="str">
        <f>""</f>
        <v/>
      </c>
      <c r="AB167" s="129">
        <v>20</v>
      </c>
      <c r="AC167" s="212">
        <f>'PBL OT 2024'!$F$4/POWER(1.02,7)+'PBL OT 2024'!$D$34</f>
        <v>5.7479650973715338E-2</v>
      </c>
      <c r="AD167" s="212" t="str">
        <f t="shared" si="22"/>
        <v/>
      </c>
      <c r="AE167" s="212" t="s">
        <v>699</v>
      </c>
      <c r="AF167" s="235">
        <v>4</v>
      </c>
      <c r="AG167" s="129" t="b">
        <f t="shared" si="35"/>
        <v>0</v>
      </c>
    </row>
    <row r="168" spans="1:33" ht="15" x14ac:dyDescent="0.25">
      <c r="A168" s="129" t="s">
        <v>267</v>
      </c>
      <c r="B168" s="213">
        <v>7.1499999999999994E-2</v>
      </c>
      <c r="C168" s="205">
        <v>4.1000000000000002E-2</v>
      </c>
      <c r="D168" s="212"/>
      <c r="E168" s="205">
        <v>6.54E-2</v>
      </c>
      <c r="F168" s="205">
        <v>0.10929999999999999</v>
      </c>
      <c r="G168" s="245">
        <f t="shared" si="21"/>
        <v>55.809698078682473</v>
      </c>
      <c r="H168" s="212">
        <f t="shared" si="31"/>
        <v>0.1149</v>
      </c>
      <c r="I168" s="212" t="str">
        <f>""</f>
        <v/>
      </c>
      <c r="J168" s="212">
        <v>4.0000000000000001E-3</v>
      </c>
      <c r="K168" s="213"/>
      <c r="L168" s="219">
        <v>8766</v>
      </c>
      <c r="M168" s="129">
        <v>15</v>
      </c>
      <c r="N168" s="203">
        <f t="shared" si="32"/>
        <v>7.1499999999999994E-2</v>
      </c>
      <c r="O168" s="203">
        <f t="shared" si="33"/>
        <v>7.1499999999999994E-2</v>
      </c>
      <c r="P168" s="203">
        <f t="shared" si="34"/>
        <v>7.1499999999999994E-2</v>
      </c>
      <c r="Q168" s="203">
        <f t="shared" si="27"/>
        <v>7.1499999999999994E-2</v>
      </c>
      <c r="R168" s="129" t="s">
        <v>194</v>
      </c>
      <c r="S168" s="129" t="str">
        <f>""</f>
        <v/>
      </c>
      <c r="T168" s="129" t="s">
        <v>196</v>
      </c>
      <c r="U168" s="129" t="s">
        <v>197</v>
      </c>
      <c r="V168" s="129" t="s">
        <v>198</v>
      </c>
      <c r="W168" s="129" t="s">
        <v>261</v>
      </c>
      <c r="X168" s="129" t="s">
        <v>253</v>
      </c>
      <c r="Y168" s="129" t="s">
        <v>262</v>
      </c>
      <c r="Z168" s="129" t="s">
        <v>202</v>
      </c>
      <c r="AA168" s="129" t="str">
        <f>""</f>
        <v/>
      </c>
      <c r="AB168" s="129">
        <v>20</v>
      </c>
      <c r="AC168" s="212">
        <f>'PBL OT 2024'!$F$4/POWER(1.02,7)+'PBL OT 2024'!$D$34</f>
        <v>5.7479650973715338E-2</v>
      </c>
      <c r="AD168" s="212" t="str">
        <f t="shared" si="22"/>
        <v/>
      </c>
      <c r="AE168" s="212" t="s">
        <v>699</v>
      </c>
      <c r="AF168" s="235">
        <v>4</v>
      </c>
      <c r="AG168" s="129" t="b">
        <f t="shared" si="35"/>
        <v>0</v>
      </c>
    </row>
    <row r="169" spans="1:33" ht="15" x14ac:dyDescent="0.25">
      <c r="A169" s="129" t="s">
        <v>268</v>
      </c>
      <c r="B169" s="213">
        <v>5.5300000000000002E-2</v>
      </c>
      <c r="C169" s="205">
        <v>4.1000000000000002E-2</v>
      </c>
      <c r="D169" s="212"/>
      <c r="E169" s="205">
        <v>6.54E-2</v>
      </c>
      <c r="F169" s="205">
        <v>0.10929999999999999</v>
      </c>
      <c r="G169" s="245">
        <f t="shared" si="21"/>
        <v>-92.406221408966132</v>
      </c>
      <c r="H169" s="212">
        <f t="shared" si="31"/>
        <v>0.1149</v>
      </c>
      <c r="I169" s="212" t="str">
        <f>""</f>
        <v/>
      </c>
      <c r="J169" s="212">
        <v>4.0000000000000001E-3</v>
      </c>
      <c r="K169" s="213"/>
      <c r="L169" s="219">
        <v>8766</v>
      </c>
      <c r="M169" s="129">
        <v>15</v>
      </c>
      <c r="N169" s="203">
        <f t="shared" si="32"/>
        <v>5.5300000000000002E-2</v>
      </c>
      <c r="O169" s="203">
        <f t="shared" si="33"/>
        <v>5.5300000000000002E-2</v>
      </c>
      <c r="P169" s="203">
        <f t="shared" si="34"/>
        <v>5.5300000000000002E-2</v>
      </c>
      <c r="Q169" s="203">
        <f t="shared" si="27"/>
        <v>5.5300000000000002E-2</v>
      </c>
      <c r="R169" s="129" t="s">
        <v>194</v>
      </c>
      <c r="S169" s="129" t="str">
        <f>""</f>
        <v/>
      </c>
      <c r="T169" s="129" t="s">
        <v>196</v>
      </c>
      <c r="U169" s="129" t="s">
        <v>197</v>
      </c>
      <c r="V169" s="129" t="s">
        <v>198</v>
      </c>
      <c r="W169" s="129" t="s">
        <v>269</v>
      </c>
      <c r="X169" s="129" t="s">
        <v>253</v>
      </c>
      <c r="Y169" s="129" t="s">
        <v>270</v>
      </c>
      <c r="Z169" s="129" t="s">
        <v>202</v>
      </c>
      <c r="AA169" s="129" t="str">
        <f>""</f>
        <v/>
      </c>
      <c r="AB169" s="129">
        <v>20</v>
      </c>
      <c r="AC169" s="212">
        <f>'PBL OT 2024'!$F$4/POWER(1.02,7)+'PBL OT 2024'!$D$34</f>
        <v>5.7479650973715338E-2</v>
      </c>
      <c r="AD169" s="212" t="b">
        <f t="shared" si="22"/>
        <v>0</v>
      </c>
      <c r="AE169" s="212" t="s">
        <v>699</v>
      </c>
      <c r="AF169" s="235">
        <v>4</v>
      </c>
      <c r="AG169" s="129" t="b">
        <f t="shared" si="35"/>
        <v>1</v>
      </c>
    </row>
    <row r="170" spans="1:33" ht="15" x14ac:dyDescent="0.25">
      <c r="A170" s="129" t="s">
        <v>271</v>
      </c>
      <c r="B170" s="213">
        <v>5.91E-2</v>
      </c>
      <c r="C170" s="205">
        <v>4.1000000000000002E-2</v>
      </c>
      <c r="D170" s="212"/>
      <c r="E170" s="205">
        <v>6.54E-2</v>
      </c>
      <c r="F170" s="205">
        <v>0.10929999999999999</v>
      </c>
      <c r="G170" s="245">
        <f t="shared" si="21"/>
        <v>-57.639524245196711</v>
      </c>
      <c r="H170" s="212">
        <f t="shared" si="31"/>
        <v>0.1149</v>
      </c>
      <c r="I170" s="212" t="str">
        <f>""</f>
        <v/>
      </c>
      <c r="J170" s="212">
        <v>4.0000000000000001E-3</v>
      </c>
      <c r="K170" s="213"/>
      <c r="L170" s="219">
        <v>8766</v>
      </c>
      <c r="M170" s="129">
        <v>15</v>
      </c>
      <c r="N170" s="203">
        <f t="shared" si="32"/>
        <v>5.91E-2</v>
      </c>
      <c r="O170" s="203">
        <f t="shared" si="33"/>
        <v>5.91E-2</v>
      </c>
      <c r="P170" s="203">
        <f t="shared" si="34"/>
        <v>5.91E-2</v>
      </c>
      <c r="Q170" s="203">
        <f t="shared" si="27"/>
        <v>5.91E-2</v>
      </c>
      <c r="R170" s="129" t="s">
        <v>194</v>
      </c>
      <c r="S170" s="129" t="str">
        <f>""</f>
        <v/>
      </c>
      <c r="T170" s="129" t="s">
        <v>196</v>
      </c>
      <c r="U170" s="129" t="s">
        <v>197</v>
      </c>
      <c r="V170" s="129" t="s">
        <v>198</v>
      </c>
      <c r="W170" s="129" t="s">
        <v>269</v>
      </c>
      <c r="X170" s="129" t="s">
        <v>253</v>
      </c>
      <c r="Y170" s="129" t="s">
        <v>270</v>
      </c>
      <c r="Z170" s="129" t="s">
        <v>202</v>
      </c>
      <c r="AA170" s="129" t="str">
        <f>""</f>
        <v/>
      </c>
      <c r="AB170" s="129">
        <v>20</v>
      </c>
      <c r="AC170" s="212">
        <f>'PBL OT 2024'!$F$4/POWER(1.02,7)+'PBL OT 2024'!$D$34</f>
        <v>5.7479650973715338E-2</v>
      </c>
      <c r="AD170" s="212" t="str">
        <f t="shared" si="22"/>
        <v/>
      </c>
      <c r="AE170" s="212" t="s">
        <v>699</v>
      </c>
      <c r="AF170" s="235">
        <v>4</v>
      </c>
      <c r="AG170" s="129" t="b">
        <f t="shared" si="35"/>
        <v>0</v>
      </c>
    </row>
    <row r="171" spans="1:33" ht="15" x14ac:dyDescent="0.25">
      <c r="A171" s="129" t="s">
        <v>272</v>
      </c>
      <c r="B171" s="213">
        <v>6.6600000000000006E-2</v>
      </c>
      <c r="C171" s="205">
        <v>4.1000000000000002E-2</v>
      </c>
      <c r="D171" s="212"/>
      <c r="E171" s="205">
        <v>6.54E-2</v>
      </c>
      <c r="F171" s="205">
        <v>0.10929999999999999</v>
      </c>
      <c r="G171" s="245">
        <f t="shared" si="21"/>
        <v>10.978956999085147</v>
      </c>
      <c r="H171" s="212">
        <f t="shared" si="31"/>
        <v>0.1149</v>
      </c>
      <c r="I171" s="212" t="str">
        <f>""</f>
        <v/>
      </c>
      <c r="J171" s="212">
        <v>4.0000000000000001E-3</v>
      </c>
      <c r="K171" s="213"/>
      <c r="L171" s="219">
        <v>8766</v>
      </c>
      <c r="M171" s="129">
        <v>15</v>
      </c>
      <c r="N171" s="203">
        <f t="shared" si="32"/>
        <v>6.6600000000000006E-2</v>
      </c>
      <c r="O171" s="203">
        <f t="shared" si="33"/>
        <v>6.6600000000000006E-2</v>
      </c>
      <c r="P171" s="203">
        <f t="shared" si="34"/>
        <v>6.6600000000000006E-2</v>
      </c>
      <c r="Q171" s="203">
        <f t="shared" si="27"/>
        <v>6.6600000000000006E-2</v>
      </c>
      <c r="R171" s="129" t="s">
        <v>194</v>
      </c>
      <c r="S171" s="129" t="str">
        <f>""</f>
        <v/>
      </c>
      <c r="T171" s="129" t="s">
        <v>196</v>
      </c>
      <c r="U171" s="129" t="s">
        <v>197</v>
      </c>
      <c r="V171" s="129" t="s">
        <v>198</v>
      </c>
      <c r="W171" s="129" t="s">
        <v>269</v>
      </c>
      <c r="X171" s="129" t="s">
        <v>253</v>
      </c>
      <c r="Y171" s="129" t="s">
        <v>270</v>
      </c>
      <c r="Z171" s="129" t="s">
        <v>202</v>
      </c>
      <c r="AA171" s="129" t="str">
        <f>""</f>
        <v/>
      </c>
      <c r="AB171" s="129">
        <v>20</v>
      </c>
      <c r="AC171" s="212">
        <f>'PBL OT 2024'!$F$4/POWER(1.02,7)+'PBL OT 2024'!$D$34</f>
        <v>5.7479650973715338E-2</v>
      </c>
      <c r="AD171" s="212" t="str">
        <f t="shared" si="22"/>
        <v/>
      </c>
      <c r="AE171" s="212" t="s">
        <v>699</v>
      </c>
      <c r="AF171" s="235">
        <v>4</v>
      </c>
      <c r="AG171" s="129" t="b">
        <f t="shared" si="35"/>
        <v>0</v>
      </c>
    </row>
    <row r="172" spans="1:33" ht="15" x14ac:dyDescent="0.25">
      <c r="A172" s="129" t="s">
        <v>273</v>
      </c>
      <c r="B172" s="213">
        <v>7.4800000000000005E-2</v>
      </c>
      <c r="C172" s="205">
        <v>4.1000000000000002E-2</v>
      </c>
      <c r="D172" s="212"/>
      <c r="E172" s="205">
        <v>6.54E-2</v>
      </c>
      <c r="F172" s="205">
        <v>0.10929999999999999</v>
      </c>
      <c r="G172" s="245">
        <f t="shared" si="21"/>
        <v>86.001829826166571</v>
      </c>
      <c r="H172" s="212">
        <f t="shared" si="31"/>
        <v>0.1149</v>
      </c>
      <c r="I172" s="212" t="str">
        <f>""</f>
        <v/>
      </c>
      <c r="J172" s="212">
        <v>4.0000000000000001E-3</v>
      </c>
      <c r="K172" s="213"/>
      <c r="L172" s="219">
        <v>8766</v>
      </c>
      <c r="M172" s="129">
        <v>15</v>
      </c>
      <c r="N172" s="203">
        <f t="shared" si="32"/>
        <v>7.3597499999999996E-2</v>
      </c>
      <c r="O172" s="203">
        <f t="shared" si="33"/>
        <v>7.4800000000000005E-2</v>
      </c>
      <c r="P172" s="203">
        <f t="shared" si="34"/>
        <v>7.4800000000000005E-2</v>
      </c>
      <c r="Q172" s="203">
        <f t="shared" si="27"/>
        <v>7.4800000000000005E-2</v>
      </c>
      <c r="R172" s="129" t="s">
        <v>194</v>
      </c>
      <c r="S172" s="129" t="str">
        <f>""</f>
        <v/>
      </c>
      <c r="T172" s="129" t="s">
        <v>196</v>
      </c>
      <c r="U172" s="129" t="s">
        <v>197</v>
      </c>
      <c r="V172" s="129" t="s">
        <v>198</v>
      </c>
      <c r="W172" s="129" t="s">
        <v>269</v>
      </c>
      <c r="X172" s="129" t="s">
        <v>253</v>
      </c>
      <c r="Y172" s="129" t="s">
        <v>270</v>
      </c>
      <c r="Z172" s="129" t="s">
        <v>202</v>
      </c>
      <c r="AA172" s="129" t="str">
        <f>""</f>
        <v/>
      </c>
      <c r="AB172" s="129">
        <v>20</v>
      </c>
      <c r="AC172" s="212">
        <f>'PBL OT 2024'!$F$4/POWER(1.02,7)+'PBL OT 2024'!$D$34</f>
        <v>5.7479650973715338E-2</v>
      </c>
      <c r="AD172" s="212" t="str">
        <f t="shared" si="22"/>
        <v/>
      </c>
      <c r="AE172" s="212" t="s">
        <v>699</v>
      </c>
      <c r="AF172" s="235">
        <v>4</v>
      </c>
      <c r="AG172" s="129" t="b">
        <f t="shared" si="35"/>
        <v>0</v>
      </c>
    </row>
    <row r="173" spans="1:33" ht="15" x14ac:dyDescent="0.25">
      <c r="A173" s="129" t="s">
        <v>274</v>
      </c>
      <c r="B173" s="213">
        <v>8.0799999999999997E-2</v>
      </c>
      <c r="C173" s="205">
        <v>4.1000000000000002E-2</v>
      </c>
      <c r="D173" s="212"/>
      <c r="E173" s="205">
        <v>6.54E-2</v>
      </c>
      <c r="F173" s="205">
        <v>0.10929999999999999</v>
      </c>
      <c r="G173" s="245">
        <f t="shared" si="21"/>
        <v>140.89661482159192</v>
      </c>
      <c r="H173" s="212">
        <f t="shared" si="31"/>
        <v>0.1149</v>
      </c>
      <c r="I173" s="212" t="str">
        <f>""</f>
        <v/>
      </c>
      <c r="J173" s="212">
        <v>4.0000000000000001E-3</v>
      </c>
      <c r="K173" s="213"/>
      <c r="L173" s="219">
        <v>8766</v>
      </c>
      <c r="M173" s="129">
        <v>15</v>
      </c>
      <c r="N173" s="203">
        <f t="shared" si="32"/>
        <v>7.3597499999999996E-2</v>
      </c>
      <c r="O173" s="203">
        <f t="shared" si="33"/>
        <v>8.0799999999999997E-2</v>
      </c>
      <c r="P173" s="203">
        <f t="shared" si="34"/>
        <v>8.0799999999999997E-2</v>
      </c>
      <c r="Q173" s="203">
        <f t="shared" si="27"/>
        <v>8.0799999999999997E-2</v>
      </c>
      <c r="R173" s="129" t="s">
        <v>194</v>
      </c>
      <c r="S173" s="129" t="str">
        <f>""</f>
        <v/>
      </c>
      <c r="T173" s="129" t="s">
        <v>196</v>
      </c>
      <c r="U173" s="129" t="s">
        <v>197</v>
      </c>
      <c r="V173" s="129" t="s">
        <v>198</v>
      </c>
      <c r="W173" s="129" t="s">
        <v>269</v>
      </c>
      <c r="X173" s="129" t="s">
        <v>253</v>
      </c>
      <c r="Y173" s="129" t="s">
        <v>270</v>
      </c>
      <c r="Z173" s="129" t="s">
        <v>202</v>
      </c>
      <c r="AA173" s="129" t="str">
        <f>""</f>
        <v/>
      </c>
      <c r="AB173" s="129">
        <v>20</v>
      </c>
      <c r="AC173" s="212">
        <f>'PBL OT 2024'!$F$4/POWER(1.02,7)+'PBL OT 2024'!$D$34</f>
        <v>5.7479650973715338E-2</v>
      </c>
      <c r="AD173" s="212" t="str">
        <f t="shared" si="22"/>
        <v/>
      </c>
      <c r="AE173" s="212" t="s">
        <v>699</v>
      </c>
      <c r="AF173" s="235">
        <v>4</v>
      </c>
      <c r="AG173" s="129" t="b">
        <f t="shared" si="35"/>
        <v>0</v>
      </c>
    </row>
    <row r="174" spans="1:33" ht="15" x14ac:dyDescent="0.25">
      <c r="A174" s="129" t="s">
        <v>275</v>
      </c>
      <c r="B174" s="213">
        <v>8.7999999999999995E-2</v>
      </c>
      <c r="C174" s="205">
        <v>4.1000000000000002E-2</v>
      </c>
      <c r="D174" s="212"/>
      <c r="E174" s="205">
        <v>6.54E-2</v>
      </c>
      <c r="F174" s="205">
        <v>0.10929999999999999</v>
      </c>
      <c r="G174" s="245">
        <f t="shared" si="21"/>
        <v>206.77035681610244</v>
      </c>
      <c r="H174" s="212">
        <f t="shared" si="31"/>
        <v>0.1149</v>
      </c>
      <c r="I174" s="212" t="str">
        <f>""</f>
        <v/>
      </c>
      <c r="J174" s="212">
        <v>4.0000000000000001E-3</v>
      </c>
      <c r="K174" s="213"/>
      <c r="L174" s="219">
        <v>8766</v>
      </c>
      <c r="M174" s="129">
        <v>15</v>
      </c>
      <c r="N174" s="203">
        <f t="shared" si="32"/>
        <v>7.3597499999999996E-2</v>
      </c>
      <c r="O174" s="203">
        <f t="shared" si="33"/>
        <v>8.1795000000000007E-2</v>
      </c>
      <c r="P174" s="203">
        <f t="shared" si="34"/>
        <v>8.7999999999999995E-2</v>
      </c>
      <c r="Q174" s="203">
        <f t="shared" si="27"/>
        <v>8.7999999999999995E-2</v>
      </c>
      <c r="R174" s="129" t="s">
        <v>194</v>
      </c>
      <c r="S174" s="129" t="str">
        <f>""</f>
        <v/>
      </c>
      <c r="T174" s="129" t="s">
        <v>196</v>
      </c>
      <c r="U174" s="129" t="s">
        <v>197</v>
      </c>
      <c r="V174" s="129" t="s">
        <v>198</v>
      </c>
      <c r="W174" s="129" t="s">
        <v>269</v>
      </c>
      <c r="X174" s="129" t="s">
        <v>253</v>
      </c>
      <c r="Y174" s="129" t="s">
        <v>270</v>
      </c>
      <c r="Z174" s="129" t="s">
        <v>202</v>
      </c>
      <c r="AA174" s="129" t="str">
        <f>""</f>
        <v/>
      </c>
      <c r="AB174" s="129">
        <v>20</v>
      </c>
      <c r="AC174" s="212">
        <f>'PBL OT 2024'!$F$4/POWER(1.02,7)+'PBL OT 2024'!$D$34</f>
        <v>5.7479650973715338E-2</v>
      </c>
      <c r="AD174" s="212" t="str">
        <f t="shared" si="22"/>
        <v/>
      </c>
      <c r="AE174" s="212" t="s">
        <v>699</v>
      </c>
      <c r="AF174" s="235">
        <v>4</v>
      </c>
      <c r="AG174" s="129" t="b">
        <f t="shared" si="35"/>
        <v>0</v>
      </c>
    </row>
    <row r="175" spans="1:33" ht="15" x14ac:dyDescent="0.25">
      <c r="A175" s="129" t="s">
        <v>276</v>
      </c>
      <c r="B175" s="213">
        <v>5.45E-2</v>
      </c>
      <c r="C175" s="205">
        <v>4.1000000000000002E-2</v>
      </c>
      <c r="D175" s="212"/>
      <c r="E175" s="205">
        <v>6.54E-2</v>
      </c>
      <c r="F175" s="205">
        <v>0.10929999999999999</v>
      </c>
      <c r="G175" s="245">
        <f t="shared" si="21"/>
        <v>-99.725526075022884</v>
      </c>
      <c r="H175" s="212">
        <f t="shared" si="31"/>
        <v>0.1149</v>
      </c>
      <c r="I175" s="212" t="str">
        <f>""</f>
        <v/>
      </c>
      <c r="J175" s="212">
        <v>4.0000000000000001E-3</v>
      </c>
      <c r="K175" s="213"/>
      <c r="L175" s="219">
        <v>8766</v>
      </c>
      <c r="M175" s="129">
        <v>15</v>
      </c>
      <c r="N175" s="203">
        <f t="shared" si="32"/>
        <v>5.45E-2</v>
      </c>
      <c r="O175" s="203">
        <f t="shared" si="33"/>
        <v>5.45E-2</v>
      </c>
      <c r="P175" s="203">
        <f t="shared" si="34"/>
        <v>5.45E-2</v>
      </c>
      <c r="Q175" s="203">
        <f t="shared" si="27"/>
        <v>5.45E-2</v>
      </c>
      <c r="R175" s="129" t="s">
        <v>194</v>
      </c>
      <c r="S175" s="129" t="str">
        <f>""</f>
        <v/>
      </c>
      <c r="T175" s="129" t="s">
        <v>196</v>
      </c>
      <c r="U175" s="129" t="s">
        <v>197</v>
      </c>
      <c r="V175" s="129" t="s">
        <v>198</v>
      </c>
      <c r="W175" s="129" t="s">
        <v>261</v>
      </c>
      <c r="X175" s="129" t="s">
        <v>253</v>
      </c>
      <c r="Y175" s="129" t="s">
        <v>262</v>
      </c>
      <c r="Z175" s="129" t="s">
        <v>202</v>
      </c>
      <c r="AA175" s="129" t="str">
        <f>""</f>
        <v/>
      </c>
      <c r="AB175" s="129">
        <v>20</v>
      </c>
      <c r="AC175" s="212">
        <f>'PBL OT 2024'!$F$4/POWER(1.02,7)+'PBL OT 2024'!$D$34</f>
        <v>5.7479650973715338E-2</v>
      </c>
      <c r="AD175" s="212" t="b">
        <f t="shared" si="22"/>
        <v>0</v>
      </c>
      <c r="AE175" s="212" t="s">
        <v>699</v>
      </c>
      <c r="AF175" s="235">
        <v>4</v>
      </c>
      <c r="AG175" s="129" t="b">
        <f t="shared" si="35"/>
        <v>1</v>
      </c>
    </row>
    <row r="176" spans="1:33" ht="15" x14ac:dyDescent="0.25">
      <c r="A176" s="129" t="s">
        <v>277</v>
      </c>
      <c r="B176" s="213">
        <v>5.7000000000000002E-2</v>
      </c>
      <c r="C176" s="205">
        <v>4.1000000000000002E-2</v>
      </c>
      <c r="D176" s="212"/>
      <c r="E176" s="205">
        <v>6.54E-2</v>
      </c>
      <c r="F176" s="205">
        <v>0.10929999999999999</v>
      </c>
      <c r="G176" s="245">
        <f t="shared" si="21"/>
        <v>-76.852698993595595</v>
      </c>
      <c r="H176" s="212">
        <f t="shared" si="31"/>
        <v>0.1149</v>
      </c>
      <c r="I176" s="212" t="str">
        <f>""</f>
        <v/>
      </c>
      <c r="J176" s="212">
        <v>4.0000000000000001E-3</v>
      </c>
      <c r="K176" s="213"/>
      <c r="L176" s="219">
        <v>8766</v>
      </c>
      <c r="M176" s="129">
        <v>15</v>
      </c>
      <c r="N176" s="203">
        <f t="shared" si="32"/>
        <v>5.7000000000000002E-2</v>
      </c>
      <c r="O176" s="203">
        <f t="shared" si="33"/>
        <v>5.7000000000000002E-2</v>
      </c>
      <c r="P176" s="203">
        <f t="shared" si="34"/>
        <v>5.7000000000000002E-2</v>
      </c>
      <c r="Q176" s="203">
        <f t="shared" si="27"/>
        <v>5.7000000000000002E-2</v>
      </c>
      <c r="R176" s="129" t="s">
        <v>194</v>
      </c>
      <c r="S176" s="129" t="str">
        <f>""</f>
        <v/>
      </c>
      <c r="T176" s="129" t="s">
        <v>196</v>
      </c>
      <c r="U176" s="129" t="s">
        <v>197</v>
      </c>
      <c r="V176" s="129" t="s">
        <v>198</v>
      </c>
      <c r="W176" s="129" t="s">
        <v>261</v>
      </c>
      <c r="X176" s="129" t="s">
        <v>253</v>
      </c>
      <c r="Y176" s="129" t="s">
        <v>262</v>
      </c>
      <c r="Z176" s="129" t="s">
        <v>202</v>
      </c>
      <c r="AA176" s="129" t="str">
        <f>""</f>
        <v/>
      </c>
      <c r="AB176" s="129">
        <v>20</v>
      </c>
      <c r="AC176" s="212">
        <f>'PBL OT 2024'!$F$4/POWER(1.02,7)+'PBL OT 2024'!$D$34</f>
        <v>5.7479650973715338E-2</v>
      </c>
      <c r="AD176" s="212" t="b">
        <f t="shared" si="22"/>
        <v>0</v>
      </c>
      <c r="AE176" s="212" t="s">
        <v>699</v>
      </c>
      <c r="AF176" s="235">
        <v>4</v>
      </c>
      <c r="AG176" s="129" t="b">
        <f t="shared" si="35"/>
        <v>1</v>
      </c>
    </row>
    <row r="177" spans="1:34" ht="15" x14ac:dyDescent="0.25">
      <c r="A177" s="129" t="s">
        <v>278</v>
      </c>
      <c r="B177" s="213">
        <v>6.3500000000000001E-2</v>
      </c>
      <c r="C177" s="205">
        <v>4.1000000000000002E-2</v>
      </c>
      <c r="D177" s="212"/>
      <c r="E177" s="205">
        <v>6.54E-2</v>
      </c>
      <c r="F177" s="205">
        <v>0.10929999999999999</v>
      </c>
      <c r="G177" s="245">
        <f t="shared" si="21"/>
        <v>-17.383348581884714</v>
      </c>
      <c r="H177" s="212">
        <f t="shared" si="31"/>
        <v>0.1149</v>
      </c>
      <c r="I177" s="212" t="str">
        <f>""</f>
        <v/>
      </c>
      <c r="J177" s="212">
        <v>4.0000000000000001E-3</v>
      </c>
      <c r="K177" s="213"/>
      <c r="L177" s="219">
        <v>8766</v>
      </c>
      <c r="M177" s="129">
        <v>15</v>
      </c>
      <c r="N177" s="203">
        <f t="shared" si="32"/>
        <v>6.3500000000000001E-2</v>
      </c>
      <c r="O177" s="203">
        <f t="shared" si="33"/>
        <v>6.3500000000000001E-2</v>
      </c>
      <c r="P177" s="203">
        <f t="shared" si="34"/>
        <v>6.3500000000000001E-2</v>
      </c>
      <c r="Q177" s="203">
        <f t="shared" si="27"/>
        <v>6.3500000000000001E-2</v>
      </c>
      <c r="R177" s="129" t="s">
        <v>194</v>
      </c>
      <c r="S177" s="129" t="str">
        <f>""</f>
        <v/>
      </c>
      <c r="T177" s="129" t="s">
        <v>196</v>
      </c>
      <c r="U177" s="129" t="s">
        <v>197</v>
      </c>
      <c r="V177" s="129" t="s">
        <v>198</v>
      </c>
      <c r="W177" s="129" t="s">
        <v>261</v>
      </c>
      <c r="X177" s="129" t="s">
        <v>253</v>
      </c>
      <c r="Y177" s="129" t="s">
        <v>262</v>
      </c>
      <c r="Z177" s="129" t="s">
        <v>202</v>
      </c>
      <c r="AA177" s="129" t="str">
        <f>""</f>
        <v/>
      </c>
      <c r="AB177" s="129">
        <v>20</v>
      </c>
      <c r="AC177" s="212">
        <f>'PBL OT 2024'!$F$4/POWER(1.02,7)+'PBL OT 2024'!$D$34</f>
        <v>5.7479650973715338E-2</v>
      </c>
      <c r="AD177" s="212" t="str">
        <f t="shared" si="22"/>
        <v/>
      </c>
      <c r="AE177" s="212" t="s">
        <v>699</v>
      </c>
      <c r="AF177" s="235">
        <v>4</v>
      </c>
      <c r="AG177" s="129" t="b">
        <f t="shared" si="35"/>
        <v>0</v>
      </c>
    </row>
    <row r="178" spans="1:34" ht="15" x14ac:dyDescent="0.25">
      <c r="A178" s="129" t="s">
        <v>279</v>
      </c>
      <c r="B178" s="213">
        <v>7.0000000000000007E-2</v>
      </c>
      <c r="C178" s="205">
        <v>4.1000000000000002E-2</v>
      </c>
      <c r="D178" s="212"/>
      <c r="E178" s="205">
        <v>6.54E-2</v>
      </c>
      <c r="F178" s="205">
        <v>0.10929999999999999</v>
      </c>
      <c r="G178" s="245">
        <f t="shared" si="21"/>
        <v>42.08600182982623</v>
      </c>
      <c r="H178" s="212">
        <f t="shared" si="31"/>
        <v>0.1149</v>
      </c>
      <c r="I178" s="212" t="str">
        <f>""</f>
        <v/>
      </c>
      <c r="J178" s="212">
        <v>4.0000000000000001E-3</v>
      </c>
      <c r="K178" s="213"/>
      <c r="L178" s="219">
        <v>8766</v>
      </c>
      <c r="M178" s="129">
        <v>15</v>
      </c>
      <c r="N178" s="203">
        <f t="shared" si="32"/>
        <v>7.0000000000000007E-2</v>
      </c>
      <c r="O178" s="203">
        <f t="shared" si="33"/>
        <v>7.0000000000000007E-2</v>
      </c>
      <c r="P178" s="203">
        <f t="shared" si="34"/>
        <v>7.0000000000000007E-2</v>
      </c>
      <c r="Q178" s="203">
        <f t="shared" si="27"/>
        <v>7.0000000000000007E-2</v>
      </c>
      <c r="R178" s="129" t="s">
        <v>194</v>
      </c>
      <c r="S178" s="129" t="str">
        <f>""</f>
        <v/>
      </c>
      <c r="T178" s="129" t="s">
        <v>196</v>
      </c>
      <c r="U178" s="129" t="s">
        <v>197</v>
      </c>
      <c r="V178" s="129" t="s">
        <v>198</v>
      </c>
      <c r="W178" s="129" t="s">
        <v>261</v>
      </c>
      <c r="X178" s="129" t="s">
        <v>253</v>
      </c>
      <c r="Y178" s="129" t="s">
        <v>262</v>
      </c>
      <c r="Z178" s="129" t="s">
        <v>202</v>
      </c>
      <c r="AA178" s="129" t="str">
        <f>""</f>
        <v/>
      </c>
      <c r="AB178" s="129">
        <v>20</v>
      </c>
      <c r="AC178" s="212">
        <f>'PBL OT 2024'!$F$4/POWER(1.02,7)+'PBL OT 2024'!$D$34</f>
        <v>5.7479650973715338E-2</v>
      </c>
      <c r="AD178" s="212" t="str">
        <f t="shared" si="22"/>
        <v/>
      </c>
      <c r="AE178" s="212" t="s">
        <v>699</v>
      </c>
      <c r="AF178" s="235">
        <v>4</v>
      </c>
      <c r="AG178" s="129" t="b">
        <f t="shared" si="35"/>
        <v>0</v>
      </c>
    </row>
    <row r="179" spans="1:34" ht="15" x14ac:dyDescent="0.25">
      <c r="A179" s="129" t="s">
        <v>280</v>
      </c>
      <c r="B179" s="213">
        <v>7.4999999999999997E-2</v>
      </c>
      <c r="C179" s="205">
        <v>4.1000000000000002E-2</v>
      </c>
      <c r="D179" s="212"/>
      <c r="E179" s="205">
        <v>6.54E-2</v>
      </c>
      <c r="F179" s="205">
        <v>0.10929999999999999</v>
      </c>
      <c r="G179" s="245">
        <f t="shared" si="21"/>
        <v>87.83165599268068</v>
      </c>
      <c r="H179" s="212">
        <f t="shared" si="31"/>
        <v>0.1149</v>
      </c>
      <c r="I179" s="212" t="str">
        <f>""</f>
        <v/>
      </c>
      <c r="J179" s="212">
        <v>4.0000000000000001E-3</v>
      </c>
      <c r="K179" s="213"/>
      <c r="L179" s="219">
        <v>8766</v>
      </c>
      <c r="M179" s="129">
        <v>15</v>
      </c>
      <c r="N179" s="203">
        <f t="shared" si="32"/>
        <v>7.3597499999999996E-2</v>
      </c>
      <c r="O179" s="203">
        <f t="shared" si="33"/>
        <v>7.4999999999999997E-2</v>
      </c>
      <c r="P179" s="203">
        <f t="shared" si="34"/>
        <v>7.4999999999999997E-2</v>
      </c>
      <c r="Q179" s="203">
        <f t="shared" si="27"/>
        <v>7.4999999999999997E-2</v>
      </c>
      <c r="R179" s="129" t="s">
        <v>194</v>
      </c>
      <c r="S179" s="129" t="str">
        <f>""</f>
        <v/>
      </c>
      <c r="T179" s="129" t="s">
        <v>196</v>
      </c>
      <c r="U179" s="129" t="s">
        <v>197</v>
      </c>
      <c r="V179" s="129" t="s">
        <v>198</v>
      </c>
      <c r="W179" s="129" t="s">
        <v>261</v>
      </c>
      <c r="X179" s="129" t="s">
        <v>253</v>
      </c>
      <c r="Y179" s="129" t="s">
        <v>262</v>
      </c>
      <c r="Z179" s="129" t="s">
        <v>202</v>
      </c>
      <c r="AA179" s="129" t="str">
        <f>""</f>
        <v/>
      </c>
      <c r="AB179" s="129">
        <v>20</v>
      </c>
      <c r="AC179" s="212">
        <f>'PBL OT 2024'!$F$4/POWER(1.02,7)+'PBL OT 2024'!$D$34</f>
        <v>5.7479650973715338E-2</v>
      </c>
      <c r="AD179" s="212" t="str">
        <f t="shared" si="22"/>
        <v/>
      </c>
      <c r="AE179" s="212" t="s">
        <v>699</v>
      </c>
      <c r="AF179" s="235">
        <v>4</v>
      </c>
      <c r="AG179" s="129" t="b">
        <f t="shared" si="35"/>
        <v>0</v>
      </c>
    </row>
    <row r="180" spans="1:34" ht="15" x14ac:dyDescent="0.25">
      <c r="A180" s="129" t="s">
        <v>281</v>
      </c>
      <c r="B180" s="213">
        <v>8.09E-2</v>
      </c>
      <c r="C180" s="205">
        <v>4.1000000000000002E-2</v>
      </c>
      <c r="D180" s="212"/>
      <c r="E180" s="205">
        <v>6.54E-2</v>
      </c>
      <c r="F180" s="205">
        <v>0.10929999999999999</v>
      </c>
      <c r="G180" s="245">
        <f t="shared" si="21"/>
        <v>141.81152790484904</v>
      </c>
      <c r="H180" s="212">
        <f t="shared" si="31"/>
        <v>0.1149</v>
      </c>
      <c r="I180" s="212" t="str">
        <f>""</f>
        <v/>
      </c>
      <c r="J180" s="212">
        <v>4.0000000000000001E-3</v>
      </c>
      <c r="K180" s="213"/>
      <c r="L180" s="219">
        <v>8766</v>
      </c>
      <c r="M180" s="129">
        <v>15</v>
      </c>
      <c r="N180" s="203">
        <f t="shared" si="32"/>
        <v>7.3597499999999996E-2</v>
      </c>
      <c r="O180" s="203">
        <f t="shared" si="33"/>
        <v>8.09E-2</v>
      </c>
      <c r="P180" s="203">
        <f t="shared" si="34"/>
        <v>8.09E-2</v>
      </c>
      <c r="Q180" s="203">
        <f t="shared" si="27"/>
        <v>8.09E-2</v>
      </c>
      <c r="R180" s="129" t="s">
        <v>194</v>
      </c>
      <c r="S180" s="129" t="str">
        <f>""</f>
        <v/>
      </c>
      <c r="T180" s="129" t="s">
        <v>196</v>
      </c>
      <c r="U180" s="129" t="s">
        <v>197</v>
      </c>
      <c r="V180" s="129" t="s">
        <v>198</v>
      </c>
      <c r="W180" s="129" t="s">
        <v>261</v>
      </c>
      <c r="X180" s="129" t="s">
        <v>253</v>
      </c>
      <c r="Y180" s="129" t="s">
        <v>262</v>
      </c>
      <c r="Z180" s="129" t="s">
        <v>202</v>
      </c>
      <c r="AA180" s="129" t="str">
        <f>""</f>
        <v/>
      </c>
      <c r="AB180" s="129">
        <v>20</v>
      </c>
      <c r="AC180" s="212">
        <f>'PBL OT 2024'!$F$4/POWER(1.02,7)+'PBL OT 2024'!$D$34</f>
        <v>5.7479650973715338E-2</v>
      </c>
      <c r="AD180" s="212" t="str">
        <f t="shared" si="22"/>
        <v/>
      </c>
      <c r="AE180" s="212" t="s">
        <v>699</v>
      </c>
      <c r="AF180" s="235">
        <v>4</v>
      </c>
      <c r="AG180" s="129" t="b">
        <f t="shared" si="35"/>
        <v>0</v>
      </c>
    </row>
    <row r="181" spans="1:34" ht="15" x14ac:dyDescent="0.25">
      <c r="A181" s="129"/>
      <c r="B181" s="213"/>
      <c r="C181" s="205"/>
      <c r="D181" s="212"/>
      <c r="E181" s="205"/>
      <c r="F181" s="205"/>
      <c r="G181" s="245"/>
      <c r="H181" s="212"/>
      <c r="I181" s="212"/>
      <c r="J181" s="212"/>
      <c r="K181" s="213"/>
      <c r="L181" s="129"/>
      <c r="M181" s="129"/>
      <c r="N181" s="203"/>
      <c r="O181" s="203"/>
      <c r="P181" s="203"/>
      <c r="Q181" s="203"/>
      <c r="R181" s="129"/>
      <c r="S181" s="129" t="s">
        <v>249</v>
      </c>
      <c r="T181" s="129"/>
      <c r="U181" s="129"/>
      <c r="V181" s="129"/>
      <c r="W181" s="129"/>
      <c r="X181" s="129"/>
      <c r="Y181" s="129"/>
      <c r="Z181" s="129"/>
      <c r="AA181" s="129"/>
      <c r="AB181" s="129"/>
      <c r="AC181" s="240"/>
      <c r="AD181" s="212"/>
      <c r="AE181" s="212"/>
      <c r="AF181" s="237"/>
      <c r="AG181" s="129"/>
    </row>
    <row r="182" spans="1:34" ht="15" customHeight="1" x14ac:dyDescent="0.25">
      <c r="A182" s="206" t="s">
        <v>282</v>
      </c>
      <c r="B182" s="213"/>
      <c r="C182" s="205"/>
      <c r="D182" s="212"/>
      <c r="E182" s="205"/>
      <c r="F182" s="205"/>
      <c r="G182" s="245"/>
      <c r="H182" s="212"/>
      <c r="I182" s="212"/>
      <c r="J182" s="212"/>
      <c r="K182" s="213"/>
      <c r="L182" s="129"/>
      <c r="M182" s="129"/>
      <c r="N182" s="203"/>
      <c r="O182" s="203"/>
      <c r="P182" s="203"/>
      <c r="Q182" s="203"/>
      <c r="R182" s="129"/>
      <c r="S182" s="129" t="s">
        <v>249</v>
      </c>
      <c r="T182" s="129"/>
      <c r="U182" s="129"/>
      <c r="V182" s="129"/>
      <c r="W182" s="129"/>
      <c r="X182" s="129"/>
      <c r="Y182" s="129"/>
      <c r="Z182" s="129"/>
      <c r="AA182" s="129"/>
      <c r="AB182" s="129"/>
      <c r="AC182" s="240"/>
      <c r="AD182" s="212"/>
      <c r="AE182" s="212"/>
      <c r="AF182" s="237"/>
      <c r="AG182" s="129"/>
    </row>
    <row r="183" spans="1:34" ht="15" customHeight="1" x14ac:dyDescent="0.25">
      <c r="A183" s="129" t="s">
        <v>510</v>
      </c>
      <c r="B183" s="246">
        <v>7.9100000000000004E-2</v>
      </c>
      <c r="C183" s="204">
        <v>4.9200000000000001E-2</v>
      </c>
      <c r="D183" s="212"/>
      <c r="E183" s="205">
        <v>7.7800000000000008E-2</v>
      </c>
      <c r="F183" s="205">
        <v>0.20230000000000001</v>
      </c>
      <c r="G183" s="245">
        <f t="shared" si="21"/>
        <v>6.4260998517053665</v>
      </c>
      <c r="H183" s="212">
        <f>0.1243+J183</f>
        <v>0.1283</v>
      </c>
      <c r="I183" s="212"/>
      <c r="J183" s="212">
        <v>4.0000000000000001E-3</v>
      </c>
      <c r="K183" s="213"/>
      <c r="L183" s="129">
        <v>840</v>
      </c>
      <c r="M183" s="129">
        <v>15</v>
      </c>
      <c r="N183" s="203">
        <f>MIN($B183,(75*$F183/1000)+$E183)</f>
        <v>7.9100000000000004E-2</v>
      </c>
      <c r="O183" s="203">
        <f>MIN($B183,(150*$F183/1000)+$E183)</f>
        <v>7.9100000000000004E-2</v>
      </c>
      <c r="P183" s="203">
        <f>MIN($B183,(225*$F183/1000)+$E183)</f>
        <v>7.9100000000000004E-2</v>
      </c>
      <c r="Q183" s="203">
        <f t="shared" si="27"/>
        <v>7.9100000000000004E-2</v>
      </c>
      <c r="R183" s="129" t="s">
        <v>194</v>
      </c>
      <c r="S183" s="129" t="str">
        <f>""</f>
        <v/>
      </c>
      <c r="T183" s="129" t="s">
        <v>196</v>
      </c>
      <c r="U183" s="129" t="s">
        <v>197</v>
      </c>
      <c r="V183" s="129" t="s">
        <v>198</v>
      </c>
      <c r="W183" s="129" t="s">
        <v>283</v>
      </c>
      <c r="X183" s="129" t="s">
        <v>253</v>
      </c>
      <c r="Y183" s="129" t="s">
        <v>957</v>
      </c>
      <c r="Z183" s="129" t="s">
        <v>202</v>
      </c>
      <c r="AA183" s="129" t="s">
        <v>285</v>
      </c>
      <c r="AB183" s="129">
        <v>20</v>
      </c>
      <c r="AC183" s="212">
        <f>'PBL OT 2024'!$F$5/POWER(1.02,7)+'PBL OT 2024'!$D$35</f>
        <v>6.8247382880380278E-2</v>
      </c>
      <c r="AD183" s="212" t="str">
        <f t="shared" si="22"/>
        <v/>
      </c>
      <c r="AE183" s="129" t="s">
        <v>700</v>
      </c>
      <c r="AF183" s="235">
        <v>6</v>
      </c>
      <c r="AG183" s="129" t="b">
        <f t="shared" si="35"/>
        <v>0</v>
      </c>
      <c r="AH183" s="353"/>
    </row>
    <row r="184" spans="1:34" ht="15" x14ac:dyDescent="0.25">
      <c r="A184" s="129" t="s">
        <v>511</v>
      </c>
      <c r="B184" s="246">
        <v>7.3400000000000007E-2</v>
      </c>
      <c r="C184" s="204">
        <v>4.9200000000000001E-2</v>
      </c>
      <c r="D184" s="212"/>
      <c r="E184" s="205">
        <v>7.7800000000000008E-2</v>
      </c>
      <c r="F184" s="205">
        <v>0.17710000000000001</v>
      </c>
      <c r="G184" s="245">
        <f t="shared" si="21"/>
        <v>-24.844720496894414</v>
      </c>
      <c r="H184" s="212">
        <f t="shared" ref="H184:H199" si="36">0.1243+J184</f>
        <v>0.1283</v>
      </c>
      <c r="I184" s="212"/>
      <c r="J184" s="212">
        <v>4.0000000000000001E-3</v>
      </c>
      <c r="K184" s="213"/>
      <c r="L184" s="129">
        <v>840</v>
      </c>
      <c r="M184" s="129">
        <v>15</v>
      </c>
      <c r="N184" s="203">
        <f t="shared" ref="N184:N199" si="37">MIN($B184,(75*$F184/1000)+$E184)</f>
        <v>7.3400000000000007E-2</v>
      </c>
      <c r="O184" s="203">
        <f t="shared" ref="O184:O199" si="38">MIN($B184,(150*$F184/1000)+$E184)</f>
        <v>7.3400000000000007E-2</v>
      </c>
      <c r="P184" s="203">
        <f t="shared" ref="P184:P199" si="39">MIN($B184,(225*$F184/1000)+$E184)</f>
        <v>7.3400000000000007E-2</v>
      </c>
      <c r="Q184" s="203">
        <f t="shared" si="27"/>
        <v>7.3400000000000007E-2</v>
      </c>
      <c r="R184" s="129" t="s">
        <v>194</v>
      </c>
      <c r="S184" s="129" t="str">
        <f>""</f>
        <v/>
      </c>
      <c r="T184" s="129" t="s">
        <v>196</v>
      </c>
      <c r="U184" s="129" t="s">
        <v>197</v>
      </c>
      <c r="V184" s="129" t="s">
        <v>198</v>
      </c>
      <c r="W184" s="129" t="s">
        <v>283</v>
      </c>
      <c r="X184" s="129" t="s">
        <v>253</v>
      </c>
      <c r="Y184" s="129" t="s">
        <v>957</v>
      </c>
      <c r="Z184" s="129" t="s">
        <v>202</v>
      </c>
      <c r="AA184" s="129" t="s">
        <v>285</v>
      </c>
      <c r="AB184" s="129">
        <v>20</v>
      </c>
      <c r="AC184" s="212">
        <f>'PBL OT 2024'!$F$5/POWER(1.02,7)+'PBL OT 2024'!$D$35</f>
        <v>6.8247382880380278E-2</v>
      </c>
      <c r="AD184" s="212" t="str">
        <f t="shared" si="22"/>
        <v/>
      </c>
      <c r="AE184" s="129" t="s">
        <v>700</v>
      </c>
      <c r="AF184" s="235">
        <v>6</v>
      </c>
      <c r="AG184" s="129" t="b">
        <f t="shared" si="35"/>
        <v>0</v>
      </c>
    </row>
    <row r="185" spans="1:34" ht="15" x14ac:dyDescent="0.25">
      <c r="A185" s="129" t="s">
        <v>736</v>
      </c>
      <c r="B185" s="246">
        <v>8.2799999999999999E-2</v>
      </c>
      <c r="C185" s="204">
        <v>4.9200000000000001E-2</v>
      </c>
      <c r="D185" s="212"/>
      <c r="E185" s="205">
        <v>7.7800000000000008E-2</v>
      </c>
      <c r="F185" s="205">
        <v>0.20230000000000001</v>
      </c>
      <c r="G185" s="245">
        <f t="shared" si="21"/>
        <v>24.715768660405288</v>
      </c>
      <c r="H185" s="212">
        <f t="shared" si="36"/>
        <v>0.1283</v>
      </c>
      <c r="I185" s="212"/>
      <c r="J185" s="212">
        <v>4.0000000000000001E-3</v>
      </c>
      <c r="K185" s="213"/>
      <c r="L185" s="129">
        <v>840</v>
      </c>
      <c r="M185" s="129">
        <v>15</v>
      </c>
      <c r="N185" s="203">
        <f t="shared" si="37"/>
        <v>8.2799999999999999E-2</v>
      </c>
      <c r="O185" s="203">
        <f t="shared" si="38"/>
        <v>8.2799999999999999E-2</v>
      </c>
      <c r="P185" s="203">
        <f t="shared" si="39"/>
        <v>8.2799999999999999E-2</v>
      </c>
      <c r="Q185" s="203">
        <f t="shared" si="27"/>
        <v>8.2799999999999999E-2</v>
      </c>
      <c r="R185" s="129" t="s">
        <v>194</v>
      </c>
      <c r="S185" s="129" t="str">
        <f>""</f>
        <v/>
      </c>
      <c r="T185" s="129" t="s">
        <v>196</v>
      </c>
      <c r="U185" s="129" t="s">
        <v>197</v>
      </c>
      <c r="V185" s="129" t="s">
        <v>198</v>
      </c>
      <c r="W185" s="129" t="s">
        <v>886</v>
      </c>
      <c r="X185" s="129" t="s">
        <v>253</v>
      </c>
      <c r="Y185" s="129" t="s">
        <v>957</v>
      </c>
      <c r="Z185" s="129" t="s">
        <v>202</v>
      </c>
      <c r="AA185" s="129" t="s">
        <v>285</v>
      </c>
      <c r="AB185" s="129">
        <v>20</v>
      </c>
      <c r="AC185" s="212">
        <f>'PBL OT 2024'!$F$5/POWER(1.02,7)+'PBL OT 2024'!$D$35</f>
        <v>6.8247382880380278E-2</v>
      </c>
      <c r="AD185" s="212" t="str">
        <f t="shared" si="22"/>
        <v/>
      </c>
      <c r="AE185" s="129" t="s">
        <v>700</v>
      </c>
      <c r="AF185" s="235">
        <v>6</v>
      </c>
      <c r="AG185" s="129" t="b">
        <f t="shared" si="35"/>
        <v>0</v>
      </c>
    </row>
    <row r="186" spans="1:34" ht="15" x14ac:dyDescent="0.25">
      <c r="A186" s="129" t="s">
        <v>737</v>
      </c>
      <c r="B186" s="246">
        <v>7.7200000000000005E-2</v>
      </c>
      <c r="C186" s="204">
        <v>4.9200000000000001E-2</v>
      </c>
      <c r="D186" s="212"/>
      <c r="E186" s="205">
        <v>7.7800000000000008E-2</v>
      </c>
      <c r="F186" s="205">
        <v>0.17710000000000001</v>
      </c>
      <c r="G186" s="245">
        <f t="shared" si="21"/>
        <v>-3.3879164313947108</v>
      </c>
      <c r="H186" s="212">
        <f t="shared" si="36"/>
        <v>0.1283</v>
      </c>
      <c r="I186" s="212"/>
      <c r="J186" s="212">
        <v>4.0000000000000001E-3</v>
      </c>
      <c r="K186" s="213"/>
      <c r="L186" s="129">
        <v>840</v>
      </c>
      <c r="M186" s="129">
        <v>15</v>
      </c>
      <c r="N186" s="203">
        <f t="shared" si="37"/>
        <v>7.7200000000000005E-2</v>
      </c>
      <c r="O186" s="203">
        <f t="shared" si="38"/>
        <v>7.7200000000000005E-2</v>
      </c>
      <c r="P186" s="203">
        <f t="shared" si="39"/>
        <v>7.7200000000000005E-2</v>
      </c>
      <c r="Q186" s="203">
        <f t="shared" si="27"/>
        <v>7.7200000000000005E-2</v>
      </c>
      <c r="R186" s="129" t="s">
        <v>194</v>
      </c>
      <c r="S186" s="129" t="str">
        <f>""</f>
        <v/>
      </c>
      <c r="T186" s="129" t="s">
        <v>196</v>
      </c>
      <c r="U186" s="129" t="s">
        <v>197</v>
      </c>
      <c r="V186" s="129" t="s">
        <v>198</v>
      </c>
      <c r="W186" s="129" t="s">
        <v>886</v>
      </c>
      <c r="X186" s="129" t="s">
        <v>253</v>
      </c>
      <c r="Y186" s="129" t="s">
        <v>957</v>
      </c>
      <c r="Z186" s="129" t="s">
        <v>202</v>
      </c>
      <c r="AA186" s="129" t="s">
        <v>285</v>
      </c>
      <c r="AB186" s="129">
        <v>20</v>
      </c>
      <c r="AC186" s="212">
        <f>'PBL OT 2024'!$F$5/POWER(1.02,7)+'PBL OT 2024'!$D$35</f>
        <v>6.8247382880380278E-2</v>
      </c>
      <c r="AD186" s="212" t="str">
        <f t="shared" si="22"/>
        <v/>
      </c>
      <c r="AE186" s="129" t="s">
        <v>700</v>
      </c>
      <c r="AF186" s="235">
        <v>6</v>
      </c>
      <c r="AG186" s="129" t="b">
        <f t="shared" si="35"/>
        <v>0</v>
      </c>
    </row>
    <row r="187" spans="1:34" ht="15" x14ac:dyDescent="0.25">
      <c r="A187" s="129" t="s">
        <v>512</v>
      </c>
      <c r="B187" s="246">
        <v>9.4799999999999995E-2</v>
      </c>
      <c r="C187" s="204">
        <v>4.9200000000000001E-2</v>
      </c>
      <c r="D187" s="212"/>
      <c r="E187" s="205">
        <v>7.7800000000000008E-2</v>
      </c>
      <c r="F187" s="205">
        <v>0.14169999999999999</v>
      </c>
      <c r="G187" s="245">
        <f t="shared" si="21"/>
        <v>119.97177134791804</v>
      </c>
      <c r="H187" s="212">
        <f t="shared" si="36"/>
        <v>0.1283</v>
      </c>
      <c r="I187" s="212"/>
      <c r="J187" s="212">
        <v>4.0000000000000001E-3</v>
      </c>
      <c r="K187" s="213"/>
      <c r="L187" s="129">
        <v>855</v>
      </c>
      <c r="M187" s="129">
        <v>15</v>
      </c>
      <c r="N187" s="203">
        <f t="shared" si="37"/>
        <v>8.8427500000000006E-2</v>
      </c>
      <c r="O187" s="203">
        <f t="shared" si="38"/>
        <v>9.4799999999999995E-2</v>
      </c>
      <c r="P187" s="203">
        <f t="shared" si="39"/>
        <v>9.4799999999999995E-2</v>
      </c>
      <c r="Q187" s="203">
        <f t="shared" si="27"/>
        <v>9.4799999999999995E-2</v>
      </c>
      <c r="R187" s="129" t="s">
        <v>194</v>
      </c>
      <c r="S187" s="129" t="str">
        <f>""</f>
        <v/>
      </c>
      <c r="T187" s="129" t="s">
        <v>196</v>
      </c>
      <c r="U187" s="129" t="s">
        <v>197</v>
      </c>
      <c r="V187" s="129" t="s">
        <v>198</v>
      </c>
      <c r="W187" s="129" t="s">
        <v>286</v>
      </c>
      <c r="X187" s="129" t="s">
        <v>253</v>
      </c>
      <c r="Y187" s="129" t="s">
        <v>284</v>
      </c>
      <c r="Z187" s="129" t="s">
        <v>202</v>
      </c>
      <c r="AA187" s="129" t="s">
        <v>285</v>
      </c>
      <c r="AB187" s="129">
        <v>20</v>
      </c>
      <c r="AC187" s="212">
        <f>'PBL OT 2024'!$F$5/POWER(1.02,7)+'PBL OT 2024'!$D$35</f>
        <v>6.8247382880380278E-2</v>
      </c>
      <c r="AD187" s="212" t="str">
        <f t="shared" si="22"/>
        <v/>
      </c>
      <c r="AE187" s="129" t="s">
        <v>700</v>
      </c>
      <c r="AF187" s="235">
        <v>6</v>
      </c>
      <c r="AG187" s="129" t="b">
        <f t="shared" si="35"/>
        <v>0</v>
      </c>
      <c r="AH187" s="353"/>
    </row>
    <row r="188" spans="1:34" ht="15" x14ac:dyDescent="0.25">
      <c r="A188" s="129" t="s">
        <v>513</v>
      </c>
      <c r="B188" s="246">
        <v>7.6999999999999999E-2</v>
      </c>
      <c r="C188" s="204">
        <v>4.9200000000000001E-2</v>
      </c>
      <c r="D188" s="212"/>
      <c r="E188" s="205">
        <v>7.7800000000000008E-2</v>
      </c>
      <c r="F188" s="205">
        <v>7.8700000000000006E-2</v>
      </c>
      <c r="G188" s="245">
        <f t="shared" si="21"/>
        <v>-10.165184243964536</v>
      </c>
      <c r="H188" s="212">
        <f t="shared" si="36"/>
        <v>0.1283</v>
      </c>
      <c r="I188" s="212"/>
      <c r="J188" s="212">
        <v>4.0000000000000001E-3</v>
      </c>
      <c r="K188" s="213"/>
      <c r="L188" s="129">
        <v>855</v>
      </c>
      <c r="M188" s="129">
        <v>15</v>
      </c>
      <c r="N188" s="203">
        <f t="shared" si="37"/>
        <v>7.6999999999999999E-2</v>
      </c>
      <c r="O188" s="203">
        <f t="shared" si="38"/>
        <v>7.6999999999999999E-2</v>
      </c>
      <c r="P188" s="203">
        <f t="shared" si="39"/>
        <v>7.6999999999999999E-2</v>
      </c>
      <c r="Q188" s="203">
        <f t="shared" si="27"/>
        <v>7.6999999999999999E-2</v>
      </c>
      <c r="R188" s="129" t="s">
        <v>194</v>
      </c>
      <c r="S188" s="129" t="str">
        <f>""</f>
        <v/>
      </c>
      <c r="T188" s="129" t="s">
        <v>196</v>
      </c>
      <c r="U188" s="129" t="s">
        <v>197</v>
      </c>
      <c r="V188" s="129" t="s">
        <v>198</v>
      </c>
      <c r="W188" s="129" t="s">
        <v>286</v>
      </c>
      <c r="X188" s="129" t="s">
        <v>253</v>
      </c>
      <c r="Y188" s="129" t="s">
        <v>284</v>
      </c>
      <c r="Z188" s="129" t="s">
        <v>202</v>
      </c>
      <c r="AA188" s="129" t="s">
        <v>285</v>
      </c>
      <c r="AB188" s="129">
        <v>20</v>
      </c>
      <c r="AC188" s="212">
        <f>'PBL OT 2024'!$F$5/POWER(1.02,7)+'PBL OT 2024'!$D$35</f>
        <v>6.8247382880380278E-2</v>
      </c>
      <c r="AD188" s="212" t="str">
        <f t="shared" si="22"/>
        <v/>
      </c>
      <c r="AE188" s="129" t="s">
        <v>700</v>
      </c>
      <c r="AF188" s="235">
        <v>6</v>
      </c>
      <c r="AG188" s="129" t="b">
        <f t="shared" si="35"/>
        <v>0</v>
      </c>
    </row>
    <row r="189" spans="1:34" ht="15" x14ac:dyDescent="0.25">
      <c r="A189" s="129" t="s">
        <v>514</v>
      </c>
      <c r="B189" s="246">
        <v>8.1799999999999998E-2</v>
      </c>
      <c r="C189" s="204">
        <v>4.9200000000000001E-2</v>
      </c>
      <c r="D189" s="212"/>
      <c r="E189" s="205">
        <v>7.7800000000000008E-2</v>
      </c>
      <c r="F189" s="205">
        <v>0.14169999999999999</v>
      </c>
      <c r="G189" s="245">
        <f t="shared" si="21"/>
        <v>28.228652081863022</v>
      </c>
      <c r="H189" s="212">
        <f t="shared" si="36"/>
        <v>0.1283</v>
      </c>
      <c r="I189" s="212"/>
      <c r="J189" s="212">
        <v>4.0000000000000001E-3</v>
      </c>
      <c r="K189" s="213"/>
      <c r="L189" s="129">
        <v>855</v>
      </c>
      <c r="M189" s="129">
        <v>15</v>
      </c>
      <c r="N189" s="203">
        <f t="shared" si="37"/>
        <v>8.1799999999999998E-2</v>
      </c>
      <c r="O189" s="203">
        <f t="shared" si="38"/>
        <v>8.1799999999999998E-2</v>
      </c>
      <c r="P189" s="203">
        <f t="shared" si="39"/>
        <v>8.1799999999999998E-2</v>
      </c>
      <c r="Q189" s="203">
        <f t="shared" si="27"/>
        <v>8.1799999999999998E-2</v>
      </c>
      <c r="R189" s="129" t="s">
        <v>194</v>
      </c>
      <c r="S189" s="129" t="str">
        <f>""</f>
        <v/>
      </c>
      <c r="T189" s="129" t="s">
        <v>196</v>
      </c>
      <c r="U189" s="129" t="s">
        <v>197</v>
      </c>
      <c r="V189" s="129" t="s">
        <v>198</v>
      </c>
      <c r="W189" s="129" t="s">
        <v>287</v>
      </c>
      <c r="X189" s="129" t="s">
        <v>253</v>
      </c>
      <c r="Y189" s="129" t="s">
        <v>284</v>
      </c>
      <c r="Z189" s="129" t="s">
        <v>202</v>
      </c>
      <c r="AA189" s="129" t="s">
        <v>285</v>
      </c>
      <c r="AB189" s="129">
        <v>20</v>
      </c>
      <c r="AC189" s="212">
        <f>'PBL OT 2024'!$F$5/POWER(1.02,7)+'PBL OT 2024'!$D$35</f>
        <v>6.8247382880380278E-2</v>
      </c>
      <c r="AD189" s="212" t="str">
        <f t="shared" si="22"/>
        <v/>
      </c>
      <c r="AE189" s="129" t="s">
        <v>700</v>
      </c>
      <c r="AF189" s="235">
        <v>6</v>
      </c>
      <c r="AG189" s="129" t="b">
        <f t="shared" si="35"/>
        <v>0</v>
      </c>
      <c r="AH189" s="353"/>
    </row>
    <row r="190" spans="1:34" ht="15" x14ac:dyDescent="0.25">
      <c r="A190" s="129" t="s">
        <v>515</v>
      </c>
      <c r="B190" s="246">
        <v>6.6299999999999998E-2</v>
      </c>
      <c r="C190" s="204">
        <v>4.9200000000000001E-2</v>
      </c>
      <c r="D190" s="212"/>
      <c r="E190" s="205">
        <v>7.7800000000000008E-2</v>
      </c>
      <c r="F190" s="205">
        <v>7.8700000000000006E-2</v>
      </c>
      <c r="G190" s="245">
        <f t="shared" si="21"/>
        <v>-146.12452350698868</v>
      </c>
      <c r="H190" s="212">
        <f t="shared" si="36"/>
        <v>0.1283</v>
      </c>
      <c r="I190" s="212"/>
      <c r="J190" s="212">
        <v>4.0000000000000001E-3</v>
      </c>
      <c r="K190" s="213"/>
      <c r="L190" s="129">
        <v>855</v>
      </c>
      <c r="M190" s="129">
        <v>15</v>
      </c>
      <c r="N190" s="203">
        <f t="shared" si="37"/>
        <v>6.6299999999999998E-2</v>
      </c>
      <c r="O190" s="203">
        <f t="shared" si="38"/>
        <v>6.6299999999999998E-2</v>
      </c>
      <c r="P190" s="203">
        <f t="shared" si="39"/>
        <v>6.6299999999999998E-2</v>
      </c>
      <c r="Q190" s="203">
        <f t="shared" si="27"/>
        <v>6.6299999999999998E-2</v>
      </c>
      <c r="R190" s="129" t="s">
        <v>194</v>
      </c>
      <c r="S190" s="129" t="str">
        <f>""</f>
        <v/>
      </c>
      <c r="T190" s="129" t="s">
        <v>196</v>
      </c>
      <c r="U190" s="129" t="s">
        <v>197</v>
      </c>
      <c r="V190" s="129" t="s">
        <v>198</v>
      </c>
      <c r="W190" s="129" t="s">
        <v>287</v>
      </c>
      <c r="X190" s="129" t="s">
        <v>253</v>
      </c>
      <c r="Y190" s="129" t="s">
        <v>284</v>
      </c>
      <c r="Z190" s="129" t="s">
        <v>202</v>
      </c>
      <c r="AA190" s="129" t="s">
        <v>285</v>
      </c>
      <c r="AB190" s="129">
        <v>20</v>
      </c>
      <c r="AC190" s="212">
        <f>'PBL OT 2024'!$F$5/POWER(1.02,7)+'PBL OT 2024'!$D$35</f>
        <v>6.8247382880380278E-2</v>
      </c>
      <c r="AD190" s="212" t="b">
        <f t="shared" si="22"/>
        <v>0</v>
      </c>
      <c r="AE190" s="129" t="s">
        <v>700</v>
      </c>
      <c r="AF190" s="235">
        <v>6</v>
      </c>
      <c r="AG190" s="129" t="b">
        <f t="shared" si="35"/>
        <v>1</v>
      </c>
    </row>
    <row r="191" spans="1:34" ht="15" x14ac:dyDescent="0.25">
      <c r="A191" s="129" t="s">
        <v>518</v>
      </c>
      <c r="B191" s="246">
        <v>6.2399999999999997E-2</v>
      </c>
      <c r="C191" s="204">
        <v>4.9200000000000001E-2</v>
      </c>
      <c r="D191" s="212"/>
      <c r="E191" s="205">
        <v>7.7800000000000008E-2</v>
      </c>
      <c r="F191" s="205">
        <v>7.0800000000000002E-2</v>
      </c>
      <c r="G191" s="245">
        <f t="shared" si="21"/>
        <v>-217.51412429378547</v>
      </c>
      <c r="H191" s="212">
        <f t="shared" si="36"/>
        <v>0.1283</v>
      </c>
      <c r="I191" s="212"/>
      <c r="J191" s="212">
        <v>4.0000000000000001E-3</v>
      </c>
      <c r="K191" s="213"/>
      <c r="L191" s="129">
        <v>855</v>
      </c>
      <c r="M191" s="129">
        <v>15</v>
      </c>
      <c r="N191" s="203">
        <f t="shared" si="37"/>
        <v>6.2399999999999997E-2</v>
      </c>
      <c r="O191" s="203">
        <f t="shared" si="38"/>
        <v>6.2399999999999997E-2</v>
      </c>
      <c r="P191" s="203">
        <f t="shared" si="39"/>
        <v>6.2399999999999997E-2</v>
      </c>
      <c r="Q191" s="203">
        <f t="shared" si="27"/>
        <v>6.2399999999999997E-2</v>
      </c>
      <c r="R191" s="129" t="s">
        <v>194</v>
      </c>
      <c r="S191" s="129" t="str">
        <f>""</f>
        <v/>
      </c>
      <c r="T191" s="129" t="s">
        <v>196</v>
      </c>
      <c r="U191" s="129" t="s">
        <v>197</v>
      </c>
      <c r="V191" s="129" t="s">
        <v>198</v>
      </c>
      <c r="W191" s="129" t="s">
        <v>287</v>
      </c>
      <c r="X191" s="129" t="s">
        <v>253</v>
      </c>
      <c r="Y191" s="129" t="s">
        <v>284</v>
      </c>
      <c r="Z191" s="129" t="s">
        <v>202</v>
      </c>
      <c r="AA191" s="129" t="s">
        <v>285</v>
      </c>
      <c r="AB191" s="129">
        <v>20</v>
      </c>
      <c r="AC191" s="212">
        <f>'PBL OT 2024'!$F$5/POWER(1.02,7)+'PBL OT 2024'!$D$35</f>
        <v>6.8247382880380278E-2</v>
      </c>
      <c r="AD191" s="212" t="b">
        <f t="shared" si="22"/>
        <v>0</v>
      </c>
      <c r="AE191" s="129" t="s">
        <v>700</v>
      </c>
      <c r="AF191" s="235">
        <v>6</v>
      </c>
      <c r="AG191" s="129" t="b">
        <f t="shared" si="35"/>
        <v>1</v>
      </c>
    </row>
    <row r="192" spans="1:34" ht="15" x14ac:dyDescent="0.25">
      <c r="A192" s="129" t="s">
        <v>707</v>
      </c>
      <c r="B192" s="246">
        <v>8.9599999999999999E-2</v>
      </c>
      <c r="C192" s="204">
        <v>4.9200000000000001E-2</v>
      </c>
      <c r="D192" s="212"/>
      <c r="E192" s="205">
        <v>7.7800000000000008E-2</v>
      </c>
      <c r="F192" s="205">
        <v>0.14169999999999999</v>
      </c>
      <c r="G192" s="245">
        <f t="shared" si="21"/>
        <v>83.27452364149606</v>
      </c>
      <c r="H192" s="212">
        <f t="shared" si="36"/>
        <v>0.1283</v>
      </c>
      <c r="I192" s="212"/>
      <c r="J192" s="212">
        <v>4.0000000000000001E-3</v>
      </c>
      <c r="K192" s="213"/>
      <c r="L192" s="129">
        <v>855</v>
      </c>
      <c r="M192" s="129">
        <v>15</v>
      </c>
      <c r="N192" s="203">
        <f t="shared" si="37"/>
        <v>8.8427500000000006E-2</v>
      </c>
      <c r="O192" s="203">
        <f t="shared" si="38"/>
        <v>8.9599999999999999E-2</v>
      </c>
      <c r="P192" s="203">
        <f t="shared" si="39"/>
        <v>8.9599999999999999E-2</v>
      </c>
      <c r="Q192" s="203">
        <f t="shared" si="27"/>
        <v>8.9599999999999999E-2</v>
      </c>
      <c r="R192" s="129" t="s">
        <v>194</v>
      </c>
      <c r="S192" s="129" t="str">
        <f>""</f>
        <v/>
      </c>
      <c r="T192" s="129" t="s">
        <v>196</v>
      </c>
      <c r="U192" s="129" t="s">
        <v>197</v>
      </c>
      <c r="V192" s="129" t="s">
        <v>198</v>
      </c>
      <c r="W192" s="129" t="s">
        <v>887</v>
      </c>
      <c r="X192" s="129" t="s">
        <v>253</v>
      </c>
      <c r="Y192" s="129" t="s">
        <v>284</v>
      </c>
      <c r="Z192" s="129" t="s">
        <v>202</v>
      </c>
      <c r="AA192" s="129" t="s">
        <v>285</v>
      </c>
      <c r="AB192" s="129">
        <v>20</v>
      </c>
      <c r="AC192" s="212">
        <f>'PBL OT 2024'!$F$5/POWER(1.02,7)+'PBL OT 2024'!$D$35</f>
        <v>6.8247382880380278E-2</v>
      </c>
      <c r="AD192" s="212" t="str">
        <f t="shared" si="22"/>
        <v/>
      </c>
      <c r="AE192" s="129" t="s">
        <v>700</v>
      </c>
      <c r="AF192" s="235">
        <v>6</v>
      </c>
      <c r="AG192" s="129" t="b">
        <f t="shared" si="35"/>
        <v>0</v>
      </c>
    </row>
    <row r="193" spans="1:33" ht="15" x14ac:dyDescent="0.25">
      <c r="A193" s="129" t="s">
        <v>708</v>
      </c>
      <c r="B193" s="246">
        <v>7.0599999999999996E-2</v>
      </c>
      <c r="C193" s="204">
        <v>4.9200000000000001E-2</v>
      </c>
      <c r="D193" s="212"/>
      <c r="E193" s="205">
        <v>7.7800000000000008E-2</v>
      </c>
      <c r="F193" s="205">
        <v>7.8700000000000006E-2</v>
      </c>
      <c r="G193" s="245">
        <f t="shared" si="21"/>
        <v>-91.486658195679937</v>
      </c>
      <c r="H193" s="212">
        <f t="shared" si="36"/>
        <v>0.1283</v>
      </c>
      <c r="I193" s="212"/>
      <c r="J193" s="212">
        <v>4.0000000000000001E-3</v>
      </c>
      <c r="K193" s="213"/>
      <c r="L193" s="129">
        <v>855</v>
      </c>
      <c r="M193" s="129">
        <v>15</v>
      </c>
      <c r="N193" s="203">
        <f t="shared" si="37"/>
        <v>7.0599999999999996E-2</v>
      </c>
      <c r="O193" s="203">
        <f t="shared" si="38"/>
        <v>7.0599999999999996E-2</v>
      </c>
      <c r="P193" s="203">
        <f t="shared" si="39"/>
        <v>7.0599999999999996E-2</v>
      </c>
      <c r="Q193" s="203">
        <f t="shared" si="27"/>
        <v>7.0599999999999996E-2</v>
      </c>
      <c r="R193" s="129" t="s">
        <v>194</v>
      </c>
      <c r="S193" s="129" t="str">
        <f>""</f>
        <v/>
      </c>
      <c r="T193" s="129" t="s">
        <v>196</v>
      </c>
      <c r="U193" s="129" t="s">
        <v>197</v>
      </c>
      <c r="V193" s="129" t="s">
        <v>198</v>
      </c>
      <c r="W193" s="129" t="s">
        <v>887</v>
      </c>
      <c r="X193" s="129" t="s">
        <v>253</v>
      </c>
      <c r="Y193" s="129" t="s">
        <v>284</v>
      </c>
      <c r="Z193" s="129" t="s">
        <v>202</v>
      </c>
      <c r="AA193" s="129" t="s">
        <v>285</v>
      </c>
      <c r="AB193" s="129">
        <v>20</v>
      </c>
      <c r="AC193" s="212">
        <f>'PBL OT 2024'!$F$5/POWER(1.02,7)+'PBL OT 2024'!$D$35</f>
        <v>6.8247382880380278E-2</v>
      </c>
      <c r="AD193" s="212" t="str">
        <f t="shared" si="22"/>
        <v/>
      </c>
      <c r="AE193" s="129" t="s">
        <v>700</v>
      </c>
      <c r="AF193" s="235">
        <v>6</v>
      </c>
      <c r="AG193" s="206" t="b">
        <f t="shared" si="35"/>
        <v>1</v>
      </c>
    </row>
    <row r="194" spans="1:33" ht="15" x14ac:dyDescent="0.25">
      <c r="A194" s="129" t="s">
        <v>709</v>
      </c>
      <c r="B194" s="246">
        <v>6.6000000000000003E-2</v>
      </c>
      <c r="C194" s="204">
        <v>4.9200000000000001E-2</v>
      </c>
      <c r="D194" s="212"/>
      <c r="E194" s="205">
        <v>7.7800000000000008E-2</v>
      </c>
      <c r="F194" s="205">
        <v>7.0800000000000002E-2</v>
      </c>
      <c r="G194" s="245">
        <f t="shared" si="21"/>
        <v>-166.66666666666671</v>
      </c>
      <c r="H194" s="212">
        <f t="shared" si="36"/>
        <v>0.1283</v>
      </c>
      <c r="I194" s="212"/>
      <c r="J194" s="212">
        <v>4.0000000000000001E-3</v>
      </c>
      <c r="K194" s="213"/>
      <c r="L194" s="129">
        <v>855</v>
      </c>
      <c r="M194" s="129">
        <v>15</v>
      </c>
      <c r="N194" s="203">
        <f t="shared" si="37"/>
        <v>6.6000000000000003E-2</v>
      </c>
      <c r="O194" s="203">
        <f t="shared" si="38"/>
        <v>6.6000000000000003E-2</v>
      </c>
      <c r="P194" s="203">
        <f t="shared" si="39"/>
        <v>6.6000000000000003E-2</v>
      </c>
      <c r="Q194" s="203">
        <f t="shared" si="27"/>
        <v>6.6000000000000003E-2</v>
      </c>
      <c r="R194" s="129" t="s">
        <v>194</v>
      </c>
      <c r="S194" s="129" t="str">
        <f>""</f>
        <v/>
      </c>
      <c r="T194" s="129" t="s">
        <v>196</v>
      </c>
      <c r="U194" s="129" t="s">
        <v>197</v>
      </c>
      <c r="V194" s="129" t="s">
        <v>198</v>
      </c>
      <c r="W194" s="129" t="s">
        <v>887</v>
      </c>
      <c r="X194" s="129" t="s">
        <v>253</v>
      </c>
      <c r="Y194" s="129" t="s">
        <v>284</v>
      </c>
      <c r="Z194" s="129" t="s">
        <v>202</v>
      </c>
      <c r="AA194" s="129" t="s">
        <v>285</v>
      </c>
      <c r="AB194" s="129">
        <v>20</v>
      </c>
      <c r="AC194" s="212">
        <f>'PBL OT 2024'!$F$5/POWER(1.02,7)+'PBL OT 2024'!$D$35</f>
        <v>6.8247382880380278E-2</v>
      </c>
      <c r="AD194" s="212" t="b">
        <f t="shared" si="22"/>
        <v>0</v>
      </c>
      <c r="AE194" s="129" t="s">
        <v>700</v>
      </c>
      <c r="AF194" s="235">
        <v>6</v>
      </c>
      <c r="AG194" s="129" t="b">
        <f t="shared" si="35"/>
        <v>1</v>
      </c>
    </row>
    <row r="195" spans="1:33" ht="15" x14ac:dyDescent="0.25">
      <c r="A195" s="129" t="s">
        <v>516</v>
      </c>
      <c r="B195" s="246">
        <v>6.6299999999999998E-2</v>
      </c>
      <c r="C195" s="204">
        <v>4.9200000000000001E-2</v>
      </c>
      <c r="D195" s="212"/>
      <c r="E195" s="205">
        <v>7.7800000000000008E-2</v>
      </c>
      <c r="F195" s="205">
        <v>7.8700000000000006E-2</v>
      </c>
      <c r="G195" s="245">
        <f t="shared" si="21"/>
        <v>-146.12452350698868</v>
      </c>
      <c r="H195" s="212">
        <f t="shared" si="36"/>
        <v>0.1283</v>
      </c>
      <c r="I195" s="212"/>
      <c r="J195" s="212">
        <v>4.0000000000000001E-3</v>
      </c>
      <c r="K195" s="213"/>
      <c r="L195" s="129">
        <v>1045</v>
      </c>
      <c r="M195" s="129">
        <v>15</v>
      </c>
      <c r="N195" s="203">
        <f t="shared" si="37"/>
        <v>6.6299999999999998E-2</v>
      </c>
      <c r="O195" s="203">
        <f t="shared" si="38"/>
        <v>6.6299999999999998E-2</v>
      </c>
      <c r="P195" s="203">
        <f t="shared" si="39"/>
        <v>6.6299999999999998E-2</v>
      </c>
      <c r="Q195" s="203">
        <f t="shared" si="27"/>
        <v>6.6299999999999998E-2</v>
      </c>
      <c r="R195" s="129" t="s">
        <v>194</v>
      </c>
      <c r="S195" s="129" t="str">
        <f>""</f>
        <v/>
      </c>
      <c r="T195" s="129" t="s">
        <v>196</v>
      </c>
      <c r="U195" s="129" t="s">
        <v>197</v>
      </c>
      <c r="V195" s="129" t="s">
        <v>198</v>
      </c>
      <c r="W195" s="129" t="s">
        <v>288</v>
      </c>
      <c r="X195" s="129" t="s">
        <v>253</v>
      </c>
      <c r="Y195" s="129" t="s">
        <v>289</v>
      </c>
      <c r="Z195" s="129" t="s">
        <v>202</v>
      </c>
      <c r="AA195" s="129"/>
      <c r="AB195" s="129">
        <v>20</v>
      </c>
      <c r="AC195" s="212">
        <f>'PBL OT 2024'!$F$5/POWER(1.02,7)+'PBL OT 2024'!$D$35</f>
        <v>6.8247382880380278E-2</v>
      </c>
      <c r="AD195" s="212" t="b">
        <f t="shared" si="22"/>
        <v>0</v>
      </c>
      <c r="AE195" s="129" t="s">
        <v>700</v>
      </c>
      <c r="AF195" s="235">
        <v>6</v>
      </c>
      <c r="AG195" s="129" t="b">
        <f t="shared" si="35"/>
        <v>1</v>
      </c>
    </row>
    <row r="196" spans="1:33" ht="15" x14ac:dyDescent="0.25">
      <c r="A196" s="129" t="s">
        <v>517</v>
      </c>
      <c r="B196" s="203">
        <v>6.2399999999999997E-2</v>
      </c>
      <c r="C196" s="204">
        <v>4.9200000000000001E-2</v>
      </c>
      <c r="D196" s="129"/>
      <c r="E196" s="205">
        <v>7.7800000000000008E-2</v>
      </c>
      <c r="F196" s="205">
        <v>7.0800000000000002E-2</v>
      </c>
      <c r="G196" s="245">
        <f t="shared" si="21"/>
        <v>-217.51412429378547</v>
      </c>
      <c r="H196" s="212">
        <f t="shared" si="36"/>
        <v>0.1283</v>
      </c>
      <c r="I196" s="129"/>
      <c r="J196" s="212">
        <v>4.0000000000000001E-3</v>
      </c>
      <c r="K196" s="129"/>
      <c r="L196" s="129">
        <v>1045</v>
      </c>
      <c r="M196" s="129">
        <v>15</v>
      </c>
      <c r="N196" s="203">
        <f t="shared" si="37"/>
        <v>6.2399999999999997E-2</v>
      </c>
      <c r="O196" s="203">
        <f t="shared" si="38"/>
        <v>6.2399999999999997E-2</v>
      </c>
      <c r="P196" s="203">
        <f t="shared" si="39"/>
        <v>6.2399999999999997E-2</v>
      </c>
      <c r="Q196" s="203">
        <f t="shared" si="27"/>
        <v>6.2399999999999997E-2</v>
      </c>
      <c r="R196" s="129" t="s">
        <v>194</v>
      </c>
      <c r="S196" s="129" t="str">
        <f>""</f>
        <v/>
      </c>
      <c r="T196" s="129" t="s">
        <v>196</v>
      </c>
      <c r="U196" s="129" t="s">
        <v>197</v>
      </c>
      <c r="V196" s="129" t="s">
        <v>198</v>
      </c>
      <c r="W196" s="129" t="s">
        <v>288</v>
      </c>
      <c r="X196" s="129" t="s">
        <v>253</v>
      </c>
      <c r="Y196" s="129" t="s">
        <v>289</v>
      </c>
      <c r="Z196" s="129" t="s">
        <v>202</v>
      </c>
      <c r="AA196" s="129"/>
      <c r="AB196" s="129">
        <v>20</v>
      </c>
      <c r="AC196" s="212">
        <f>'PBL OT 2024'!$F$5/POWER(1.02,7)+'PBL OT 2024'!$D$35</f>
        <v>6.8247382880380278E-2</v>
      </c>
      <c r="AD196" s="212" t="b">
        <f t="shared" si="22"/>
        <v>0</v>
      </c>
      <c r="AE196" s="129" t="s">
        <v>700</v>
      </c>
      <c r="AF196" s="235">
        <v>6</v>
      </c>
      <c r="AG196" s="129" t="b">
        <f t="shared" si="35"/>
        <v>1</v>
      </c>
    </row>
    <row r="197" spans="1:33" ht="15" x14ac:dyDescent="0.25">
      <c r="A197" s="129" t="s">
        <v>710</v>
      </c>
      <c r="B197" s="203">
        <v>7.0599999999999996E-2</v>
      </c>
      <c r="C197" s="204">
        <v>4.9200000000000001E-2</v>
      </c>
      <c r="D197" s="129"/>
      <c r="E197" s="205">
        <v>7.7800000000000008E-2</v>
      </c>
      <c r="F197" s="205">
        <v>7.8700000000000006E-2</v>
      </c>
      <c r="G197" s="245">
        <f t="shared" si="21"/>
        <v>-91.486658195679937</v>
      </c>
      <c r="H197" s="212">
        <f t="shared" si="36"/>
        <v>0.1283</v>
      </c>
      <c r="I197" s="129"/>
      <c r="J197" s="212">
        <v>4.0000000000000001E-3</v>
      </c>
      <c r="K197" s="129"/>
      <c r="L197" s="129">
        <v>1045</v>
      </c>
      <c r="M197" s="129">
        <v>15</v>
      </c>
      <c r="N197" s="203">
        <f t="shared" si="37"/>
        <v>7.0599999999999996E-2</v>
      </c>
      <c r="O197" s="203">
        <f t="shared" si="38"/>
        <v>7.0599999999999996E-2</v>
      </c>
      <c r="P197" s="203">
        <f t="shared" si="39"/>
        <v>7.0599999999999996E-2</v>
      </c>
      <c r="Q197" s="203">
        <f t="shared" si="27"/>
        <v>7.0599999999999996E-2</v>
      </c>
      <c r="R197" s="129" t="s">
        <v>194</v>
      </c>
      <c r="S197" s="129" t="str">
        <f>""</f>
        <v/>
      </c>
      <c r="T197" s="129" t="s">
        <v>196</v>
      </c>
      <c r="U197" s="129" t="s">
        <v>197</v>
      </c>
      <c r="V197" s="129" t="s">
        <v>198</v>
      </c>
      <c r="W197" s="129" t="s">
        <v>888</v>
      </c>
      <c r="X197" s="129" t="s">
        <v>253</v>
      </c>
      <c r="Y197" s="129" t="s">
        <v>289</v>
      </c>
      <c r="Z197" s="129" t="s">
        <v>202</v>
      </c>
      <c r="AA197" s="129"/>
      <c r="AB197" s="129">
        <v>20</v>
      </c>
      <c r="AC197" s="212">
        <f>'PBL OT 2024'!$F$5/POWER(1.02,7)+'PBL OT 2024'!$D$35</f>
        <v>6.8247382880380278E-2</v>
      </c>
      <c r="AD197" s="212" t="str">
        <f t="shared" si="22"/>
        <v/>
      </c>
      <c r="AE197" s="129" t="s">
        <v>700</v>
      </c>
      <c r="AF197" s="235">
        <v>6</v>
      </c>
      <c r="AG197" s="206" t="b">
        <f t="shared" si="35"/>
        <v>1</v>
      </c>
    </row>
    <row r="198" spans="1:33" ht="15" x14ac:dyDescent="0.25">
      <c r="A198" s="129" t="s">
        <v>711</v>
      </c>
      <c r="B198" s="203">
        <v>6.6000000000000003E-2</v>
      </c>
      <c r="C198" s="204">
        <v>4.9200000000000001E-2</v>
      </c>
      <c r="D198" s="129"/>
      <c r="E198" s="205">
        <v>7.7800000000000008E-2</v>
      </c>
      <c r="F198" s="205">
        <v>7.0800000000000002E-2</v>
      </c>
      <c r="G198" s="245">
        <f t="shared" si="21"/>
        <v>-166.66666666666671</v>
      </c>
      <c r="H198" s="212">
        <f t="shared" si="36"/>
        <v>0.1283</v>
      </c>
      <c r="I198" s="129"/>
      <c r="J198" s="212">
        <v>4.0000000000000001E-3</v>
      </c>
      <c r="K198" s="129"/>
      <c r="L198" s="129">
        <v>1045</v>
      </c>
      <c r="M198" s="129">
        <v>15</v>
      </c>
      <c r="N198" s="203">
        <f t="shared" si="37"/>
        <v>6.6000000000000003E-2</v>
      </c>
      <c r="O198" s="203">
        <f t="shared" si="38"/>
        <v>6.6000000000000003E-2</v>
      </c>
      <c r="P198" s="203">
        <f t="shared" si="39"/>
        <v>6.6000000000000003E-2</v>
      </c>
      <c r="Q198" s="203">
        <f t="shared" si="27"/>
        <v>6.6000000000000003E-2</v>
      </c>
      <c r="R198" s="129" t="s">
        <v>194</v>
      </c>
      <c r="S198" s="129" t="str">
        <f>""</f>
        <v/>
      </c>
      <c r="T198" s="129" t="s">
        <v>196</v>
      </c>
      <c r="U198" s="129" t="s">
        <v>197</v>
      </c>
      <c r="V198" s="129" t="s">
        <v>198</v>
      </c>
      <c r="W198" s="129" t="s">
        <v>888</v>
      </c>
      <c r="X198" s="129" t="s">
        <v>253</v>
      </c>
      <c r="Y198" s="129" t="s">
        <v>289</v>
      </c>
      <c r="Z198" s="129" t="s">
        <v>202</v>
      </c>
      <c r="AA198" s="129"/>
      <c r="AB198" s="129">
        <v>20</v>
      </c>
      <c r="AC198" s="212">
        <f>'PBL OT 2024'!$F$5/POWER(1.02,7)+'PBL OT 2024'!$D$35</f>
        <v>6.8247382880380278E-2</v>
      </c>
      <c r="AD198" s="212" t="b">
        <f t="shared" si="22"/>
        <v>0</v>
      </c>
      <c r="AE198" s="129" t="s">
        <v>700</v>
      </c>
      <c r="AF198" s="235">
        <v>6</v>
      </c>
      <c r="AG198" s="129" t="b">
        <f t="shared" si="35"/>
        <v>1</v>
      </c>
    </row>
    <row r="199" spans="1:33" ht="15" x14ac:dyDescent="0.25">
      <c r="A199" s="129" t="s">
        <v>290</v>
      </c>
      <c r="B199" s="246">
        <v>7.6999999999999999E-2</v>
      </c>
      <c r="C199" s="204">
        <v>4.9200000000000001E-2</v>
      </c>
      <c r="D199" s="212"/>
      <c r="E199" s="205">
        <v>7.7800000000000008E-2</v>
      </c>
      <c r="F199" s="205">
        <v>7.8700000000000006E-2</v>
      </c>
      <c r="G199" s="245">
        <f t="shared" si="21"/>
        <v>-10.165184243964536</v>
      </c>
      <c r="H199" s="212">
        <f t="shared" si="36"/>
        <v>0.1283</v>
      </c>
      <c r="I199" s="212"/>
      <c r="J199" s="212">
        <v>4.0000000000000001E-3</v>
      </c>
      <c r="K199" s="213"/>
      <c r="L199" s="129">
        <v>1190</v>
      </c>
      <c r="M199" s="129">
        <v>15</v>
      </c>
      <c r="N199" s="203">
        <f t="shared" si="37"/>
        <v>7.6999999999999999E-2</v>
      </c>
      <c r="O199" s="203">
        <f t="shared" si="38"/>
        <v>7.6999999999999999E-2</v>
      </c>
      <c r="P199" s="203">
        <f t="shared" si="39"/>
        <v>7.6999999999999999E-2</v>
      </c>
      <c r="Q199" s="203">
        <f t="shared" si="27"/>
        <v>7.6999999999999999E-2</v>
      </c>
      <c r="R199" s="129" t="s">
        <v>194</v>
      </c>
      <c r="S199" s="129" t="str">
        <f>""</f>
        <v/>
      </c>
      <c r="T199" s="129" t="s">
        <v>196</v>
      </c>
      <c r="U199" s="129" t="s">
        <v>197</v>
      </c>
      <c r="V199" s="129" t="s">
        <v>198</v>
      </c>
      <c r="W199" s="129" t="s">
        <v>288</v>
      </c>
      <c r="X199" s="129" t="s">
        <v>253</v>
      </c>
      <c r="Y199" s="129" t="s">
        <v>289</v>
      </c>
      <c r="Z199" s="129" t="s">
        <v>202</v>
      </c>
      <c r="AA199" s="129"/>
      <c r="AB199" s="129">
        <v>20</v>
      </c>
      <c r="AC199" s="212">
        <f>'PBL OT 2024'!$F$5/POWER(1.02,7)+'PBL OT 2024'!$D$35</f>
        <v>6.8247382880380278E-2</v>
      </c>
      <c r="AD199" s="212" t="str">
        <f t="shared" si="22"/>
        <v/>
      </c>
      <c r="AE199" s="129" t="s">
        <v>700</v>
      </c>
      <c r="AF199" s="235">
        <v>6</v>
      </c>
      <c r="AG199" s="129" t="b">
        <f t="shared" si="35"/>
        <v>0</v>
      </c>
    </row>
    <row r="200" spans="1:33" ht="15" x14ac:dyDescent="0.25">
      <c r="A200" s="129"/>
      <c r="B200" s="213"/>
      <c r="C200" s="204"/>
      <c r="D200" s="212"/>
      <c r="E200" s="205"/>
      <c r="F200" s="205"/>
      <c r="G200" s="245"/>
      <c r="H200" s="212"/>
      <c r="I200" s="212"/>
      <c r="J200" s="212"/>
      <c r="K200" s="212"/>
      <c r="L200" s="129"/>
      <c r="M200" s="129"/>
      <c r="N200" s="203"/>
      <c r="O200" s="203"/>
      <c r="P200" s="203"/>
      <c r="Q200" s="203"/>
      <c r="R200" s="129"/>
      <c r="S200" s="129" t="s">
        <v>249</v>
      </c>
      <c r="T200" s="129"/>
      <c r="U200" s="129"/>
      <c r="V200" s="129"/>
      <c r="W200" s="129"/>
      <c r="X200" s="129"/>
      <c r="Y200" s="129"/>
      <c r="Z200" s="129"/>
      <c r="AA200" s="129"/>
      <c r="AB200" s="129"/>
      <c r="AC200" s="240"/>
      <c r="AD200" s="212"/>
      <c r="AE200" s="212"/>
      <c r="AF200" s="236"/>
      <c r="AG200" s="129"/>
    </row>
    <row r="201" spans="1:33" ht="15" x14ac:dyDescent="0.25">
      <c r="A201" s="206" t="s">
        <v>291</v>
      </c>
      <c r="B201" s="213"/>
      <c r="C201" s="204"/>
      <c r="D201" s="212"/>
      <c r="E201" s="205"/>
      <c r="F201" s="205"/>
      <c r="G201" s="245"/>
      <c r="H201" s="212"/>
      <c r="I201" s="212"/>
      <c r="J201" s="212"/>
      <c r="K201" s="212"/>
      <c r="L201" s="129"/>
      <c r="M201" s="129"/>
      <c r="N201" s="203"/>
      <c r="O201" s="203"/>
      <c r="P201" s="203"/>
      <c r="Q201" s="203"/>
      <c r="R201" s="129"/>
      <c r="S201" s="129" t="s">
        <v>249</v>
      </c>
      <c r="T201" s="129"/>
      <c r="U201" s="129"/>
      <c r="V201" s="129"/>
      <c r="W201" s="129"/>
      <c r="X201" s="129"/>
      <c r="Y201" s="129"/>
      <c r="Z201" s="129"/>
      <c r="AA201" s="129"/>
      <c r="AB201" s="129"/>
      <c r="AC201" s="240"/>
      <c r="AD201" s="212"/>
      <c r="AE201" s="212"/>
      <c r="AF201" s="236"/>
      <c r="AG201" s="129"/>
    </row>
    <row r="202" spans="1:33" ht="15" x14ac:dyDescent="0.25">
      <c r="A202" s="129" t="s">
        <v>292</v>
      </c>
      <c r="B202" s="213">
        <v>0.1158</v>
      </c>
      <c r="C202" s="204">
        <v>5.0200000000000002E-2</v>
      </c>
      <c r="D202" s="212"/>
      <c r="E202" s="205">
        <v>6.9199999999999998E-2</v>
      </c>
      <c r="F202" s="205">
        <v>0.22500000000000001</v>
      </c>
      <c r="G202" s="245">
        <f t="shared" si="21"/>
        <v>207.11111111111111</v>
      </c>
      <c r="H202" s="212">
        <v>0.10100000000000001</v>
      </c>
      <c r="I202" s="212" t="str">
        <f>""</f>
        <v/>
      </c>
      <c r="J202" s="212"/>
      <c r="K202" s="212">
        <v>1.9E-3</v>
      </c>
      <c r="L202" s="129">
        <v>600</v>
      </c>
      <c r="M202" s="129">
        <v>15</v>
      </c>
      <c r="N202" s="203">
        <f>MIN($B202,(75*$F202/1000)+$E202)</f>
        <v>8.6074999999999999E-2</v>
      </c>
      <c r="O202" s="203">
        <f>MIN($B202,(150*$F202/1000)+$E202)</f>
        <v>0.10295</v>
      </c>
      <c r="P202" s="203">
        <f>MIN($B202,(225*$F202/1000)+$E202)</f>
        <v>0.1158</v>
      </c>
      <c r="Q202" s="203">
        <f t="shared" si="27"/>
        <v>0.1158</v>
      </c>
      <c r="R202" s="129" t="s">
        <v>195</v>
      </c>
      <c r="S202" s="129" t="str">
        <f>""</f>
        <v/>
      </c>
      <c r="T202" s="129" t="s">
        <v>196</v>
      </c>
      <c r="U202" s="129" t="s">
        <v>197</v>
      </c>
      <c r="V202" s="129" t="s">
        <v>198</v>
      </c>
      <c r="W202" s="129" t="s">
        <v>293</v>
      </c>
      <c r="X202" s="129" t="s">
        <v>206</v>
      </c>
      <c r="Y202" s="129" t="str">
        <f>""</f>
        <v/>
      </c>
      <c r="Z202" s="129" t="s">
        <v>202</v>
      </c>
      <c r="AA202" s="129" t="str">
        <f>""</f>
        <v/>
      </c>
      <c r="AB202" s="129">
        <v>15</v>
      </c>
      <c r="AC202" s="212">
        <f>('PBL OT 2024'!$F$25/POWER(1.02,7)+'PBL OT 2024'!$D$71)/90%</f>
        <v>6.1833919141546755E-2</v>
      </c>
      <c r="AD202" s="212" t="str">
        <f t="shared" si="22"/>
        <v/>
      </c>
      <c r="AE202" s="212" t="s">
        <v>688</v>
      </c>
      <c r="AF202" s="235">
        <v>15</v>
      </c>
      <c r="AG202" s="129"/>
    </row>
    <row r="203" spans="1:33" ht="15" x14ac:dyDescent="0.25">
      <c r="A203" s="129" t="s">
        <v>294</v>
      </c>
      <c r="B203" s="213">
        <v>9.7600000000000006E-2</v>
      </c>
      <c r="C203" s="204">
        <v>4.4499999999999998E-2</v>
      </c>
      <c r="D203" s="212"/>
      <c r="E203" s="205">
        <v>6.3500000000000001E-2</v>
      </c>
      <c r="F203" s="205">
        <v>0.22500000000000001</v>
      </c>
      <c r="G203" s="245">
        <f t="shared" si="21"/>
        <v>151.5555555555556</v>
      </c>
      <c r="H203" s="212">
        <v>9.5299999999999996E-2</v>
      </c>
      <c r="I203" s="212" t="str">
        <f>""</f>
        <v/>
      </c>
      <c r="J203" s="212"/>
      <c r="K203" s="212">
        <v>1.9E-3</v>
      </c>
      <c r="L203" s="129">
        <v>600</v>
      </c>
      <c r="M203" s="129">
        <v>15</v>
      </c>
      <c r="N203" s="203">
        <f t="shared" ref="N203:N205" si="40">MIN($B203,(75*$F203/1000)+$E203)</f>
        <v>8.0375000000000002E-2</v>
      </c>
      <c r="O203" s="203">
        <f t="shared" ref="O203:O205" si="41">MIN($B203,(150*$F203/1000)+$E203)</f>
        <v>9.7250000000000003E-2</v>
      </c>
      <c r="P203" s="203">
        <f t="shared" ref="P203:P205" si="42">MIN($B203,(225*$F203/1000)+$E203)</f>
        <v>9.7600000000000006E-2</v>
      </c>
      <c r="Q203" s="203">
        <f t="shared" si="27"/>
        <v>9.7600000000000006E-2</v>
      </c>
      <c r="R203" s="129" t="s">
        <v>195</v>
      </c>
      <c r="S203" s="129" t="str">
        <f>""</f>
        <v/>
      </c>
      <c r="T203" s="129" t="s">
        <v>196</v>
      </c>
      <c r="U203" s="129" t="s">
        <v>197</v>
      </c>
      <c r="V203" s="129" t="s">
        <v>198</v>
      </c>
      <c r="W203" s="129" t="s">
        <v>293</v>
      </c>
      <c r="X203" s="129" t="s">
        <v>206</v>
      </c>
      <c r="Y203" s="129" t="str">
        <f>""</f>
        <v/>
      </c>
      <c r="Z203" s="129" t="s">
        <v>202</v>
      </c>
      <c r="AA203" s="129" t="str">
        <f>""</f>
        <v/>
      </c>
      <c r="AB203" s="129">
        <v>15</v>
      </c>
      <c r="AC203" s="212">
        <f>('PBL OT 2024'!$F$25/POWER(1.02,7)+'PBL OT 2024'!$D$72)/90%</f>
        <v>5.6131549473300332E-2</v>
      </c>
      <c r="AD203" s="212" t="str">
        <f t="shared" si="22"/>
        <v/>
      </c>
      <c r="AE203" s="212" t="s">
        <v>684</v>
      </c>
      <c r="AF203" s="235">
        <v>16</v>
      </c>
      <c r="AG203" s="129"/>
    </row>
    <row r="204" spans="1:33" ht="15" x14ac:dyDescent="0.25">
      <c r="A204" s="129" t="s">
        <v>159</v>
      </c>
      <c r="B204" s="213">
        <v>6.5000000000000002E-2</v>
      </c>
      <c r="C204" s="204">
        <v>5.0200000000000002E-2</v>
      </c>
      <c r="D204" s="212"/>
      <c r="E204" s="205">
        <v>6.9199999999999998E-2</v>
      </c>
      <c r="F204" s="205">
        <v>0.2039</v>
      </c>
      <c r="G204" s="245">
        <f t="shared" si="21"/>
        <v>-20.598332515939166</v>
      </c>
      <c r="H204" s="212">
        <v>0.10100000000000001</v>
      </c>
      <c r="I204" s="212" t="str">
        <f>""</f>
        <v/>
      </c>
      <c r="J204" s="212"/>
      <c r="K204" s="212">
        <v>4.0000000000000002E-4</v>
      </c>
      <c r="L204" s="129">
        <v>3500</v>
      </c>
      <c r="M204" s="129">
        <v>15</v>
      </c>
      <c r="N204" s="203">
        <f t="shared" si="40"/>
        <v>6.5000000000000002E-2</v>
      </c>
      <c r="O204" s="203">
        <f t="shared" si="41"/>
        <v>6.5000000000000002E-2</v>
      </c>
      <c r="P204" s="203">
        <f t="shared" si="42"/>
        <v>6.5000000000000002E-2</v>
      </c>
      <c r="Q204" s="203">
        <f t="shared" si="27"/>
        <v>6.5000000000000002E-2</v>
      </c>
      <c r="R204" s="129" t="s">
        <v>195</v>
      </c>
      <c r="S204" s="129" t="str">
        <f>""</f>
        <v/>
      </c>
      <c r="T204" s="129" t="s">
        <v>196</v>
      </c>
      <c r="U204" s="129" t="s">
        <v>197</v>
      </c>
      <c r="V204" s="129" t="s">
        <v>198</v>
      </c>
      <c r="W204" s="129" t="s">
        <v>159</v>
      </c>
      <c r="X204" s="129" t="s">
        <v>206</v>
      </c>
      <c r="Y204" s="129" t="s">
        <v>257</v>
      </c>
      <c r="Z204" s="129" t="s">
        <v>202</v>
      </c>
      <c r="AA204" s="129" t="str">
        <f>""</f>
        <v/>
      </c>
      <c r="AB204" s="129">
        <v>15</v>
      </c>
      <c r="AC204" s="212">
        <f>('PBL OT 2024'!$F$25/POWER(1.02,7)+'PBL OT 2024'!$D$71)/90%</f>
        <v>6.1833919141546755E-2</v>
      </c>
      <c r="AD204" s="212" t="str">
        <f t="shared" si="22"/>
        <v/>
      </c>
      <c r="AE204" s="212" t="s">
        <v>688</v>
      </c>
      <c r="AF204" s="235">
        <v>15</v>
      </c>
      <c r="AG204" s="129"/>
    </row>
    <row r="205" spans="1:33" ht="15" x14ac:dyDescent="0.25">
      <c r="A205" s="129" t="s">
        <v>295</v>
      </c>
      <c r="B205" s="213">
        <v>0.1012</v>
      </c>
      <c r="C205" s="204">
        <v>2.4E-2</v>
      </c>
      <c r="D205" s="212"/>
      <c r="E205" s="205">
        <v>3.5900000000000001E-2</v>
      </c>
      <c r="F205" s="205">
        <v>0.19639999999999999</v>
      </c>
      <c r="G205" s="245">
        <f t="shared" si="21"/>
        <v>332.4847250509165</v>
      </c>
      <c r="H205" s="212">
        <v>5.6000000000000001E-2</v>
      </c>
      <c r="I205" s="212" t="str">
        <f>""</f>
        <v/>
      </c>
      <c r="J205" s="212"/>
      <c r="K205" s="212">
        <v>4.0000000000000002E-4</v>
      </c>
      <c r="L205" s="129">
        <v>3850</v>
      </c>
      <c r="M205" s="129">
        <v>15</v>
      </c>
      <c r="N205" s="203">
        <f t="shared" si="40"/>
        <v>5.0630000000000001E-2</v>
      </c>
      <c r="O205" s="203">
        <f t="shared" si="41"/>
        <v>6.5360000000000001E-2</v>
      </c>
      <c r="P205" s="203">
        <f t="shared" si="42"/>
        <v>8.0089999999999995E-2</v>
      </c>
      <c r="Q205" s="203">
        <f t="shared" si="27"/>
        <v>9.4819999999999988E-2</v>
      </c>
      <c r="R205" s="129" t="s">
        <v>195</v>
      </c>
      <c r="S205" s="129" t="str">
        <f>""</f>
        <v/>
      </c>
      <c r="T205" s="129" t="s">
        <v>196</v>
      </c>
      <c r="U205" s="129" t="s">
        <v>197</v>
      </c>
      <c r="V205" s="129" t="s">
        <v>198</v>
      </c>
      <c r="W205" s="129" t="s">
        <v>295</v>
      </c>
      <c r="X205" s="129" t="s">
        <v>206</v>
      </c>
      <c r="Y205" s="129" t="s">
        <v>498</v>
      </c>
      <c r="Z205" s="129" t="s">
        <v>202</v>
      </c>
      <c r="AA205" s="129" t="s">
        <v>296</v>
      </c>
      <c r="AB205" s="129">
        <v>15</v>
      </c>
      <c r="AC205" s="212">
        <f>'PBL OT 2024'!$F$12/POWER(1.02,7)</f>
        <v>3.1295046784292957E-2</v>
      </c>
      <c r="AD205" s="212" t="str">
        <f t="shared" si="22"/>
        <v/>
      </c>
      <c r="AE205" s="212" t="s">
        <v>687</v>
      </c>
      <c r="AF205" s="235">
        <v>17</v>
      </c>
      <c r="AG205" s="129"/>
    </row>
    <row r="206" spans="1:33" ht="15" x14ac:dyDescent="0.25">
      <c r="A206" s="129"/>
      <c r="B206" s="212"/>
      <c r="C206" s="205"/>
      <c r="D206" s="212"/>
      <c r="E206" s="205"/>
      <c r="F206" s="205"/>
      <c r="G206" s="245"/>
      <c r="H206" s="212"/>
      <c r="I206" s="212"/>
      <c r="J206" s="212"/>
      <c r="K206" s="212"/>
      <c r="L206" s="129"/>
      <c r="M206" s="129"/>
      <c r="N206" s="203"/>
      <c r="O206" s="203"/>
      <c r="P206" s="203"/>
      <c r="Q206" s="203"/>
      <c r="R206" s="129"/>
      <c r="S206" s="129" t="s">
        <v>249</v>
      </c>
      <c r="T206" s="129"/>
      <c r="U206" s="129"/>
      <c r="V206" s="129"/>
      <c r="W206" s="129"/>
      <c r="X206" s="129"/>
      <c r="Y206" s="129"/>
      <c r="Z206" s="129"/>
      <c r="AA206" s="129"/>
      <c r="AB206" s="129"/>
      <c r="AC206" s="240"/>
      <c r="AD206" s="212"/>
      <c r="AE206" s="212"/>
      <c r="AF206" s="235"/>
      <c r="AG206" s="129"/>
    </row>
    <row r="207" spans="1:33" ht="15" x14ac:dyDescent="0.25">
      <c r="A207" s="206" t="s">
        <v>297</v>
      </c>
      <c r="B207" s="212"/>
      <c r="C207" s="205"/>
      <c r="D207" s="212"/>
      <c r="E207" s="205"/>
      <c r="F207" s="205"/>
      <c r="G207" s="245"/>
      <c r="H207" s="212"/>
      <c r="I207" s="212"/>
      <c r="J207" s="212"/>
      <c r="K207" s="212"/>
      <c r="L207" s="129"/>
      <c r="M207" s="129"/>
      <c r="N207" s="203"/>
      <c r="O207" s="203"/>
      <c r="P207" s="203"/>
      <c r="Q207" s="203"/>
      <c r="R207" s="129"/>
      <c r="S207" s="129" t="s">
        <v>249</v>
      </c>
      <c r="T207" s="129"/>
      <c r="U207" s="129"/>
      <c r="V207" s="129"/>
      <c r="W207" s="129"/>
      <c r="X207" s="129"/>
      <c r="Y207" s="129"/>
      <c r="Z207" s="129"/>
      <c r="AA207" s="129"/>
      <c r="AB207" s="129"/>
      <c r="AC207" s="240"/>
      <c r="AD207" s="212"/>
      <c r="AE207" s="212"/>
      <c r="AF207" s="235"/>
      <c r="AG207" s="129"/>
    </row>
    <row r="208" spans="1:33" ht="15" x14ac:dyDescent="0.25">
      <c r="A208" s="129" t="s">
        <v>946</v>
      </c>
      <c r="B208" s="212">
        <v>249.6473</v>
      </c>
      <c r="C208" s="205">
        <v>91.348100000000002</v>
      </c>
      <c r="D208" s="212"/>
      <c r="E208" s="205">
        <v>137.0222</v>
      </c>
      <c r="F208" s="205">
        <v>906.82500000000005</v>
      </c>
      <c r="G208" s="245">
        <f t="shared" si="21"/>
        <v>124.19717144983872</v>
      </c>
      <c r="H208" s="212">
        <v>0</v>
      </c>
      <c r="I208" s="212" t="str">
        <f>""</f>
        <v/>
      </c>
      <c r="J208" s="212"/>
      <c r="K208" s="212">
        <v>91.348100000000002</v>
      </c>
      <c r="L208" s="129">
        <v>4000</v>
      </c>
      <c r="M208" s="129">
        <v>15</v>
      </c>
      <c r="N208" s="203">
        <f>MIN($B208,(75*$F208/1000)+$E208)</f>
        <v>205.034075</v>
      </c>
      <c r="O208" s="203">
        <f>MIN($B208,(150*$F208/1000)+$E208)</f>
        <v>249.6473</v>
      </c>
      <c r="P208" s="203">
        <f>MIN($B208,(225*$F208/1000)+$E208)</f>
        <v>249.6473</v>
      </c>
      <c r="Q208" s="203">
        <f t="shared" si="27"/>
        <v>249.6473</v>
      </c>
      <c r="R208" s="129" t="s">
        <v>298</v>
      </c>
      <c r="S208" s="129" t="str">
        <f>""</f>
        <v/>
      </c>
      <c r="T208" s="129" t="s">
        <v>299</v>
      </c>
      <c r="U208" s="129" t="s">
        <v>300</v>
      </c>
      <c r="V208" s="129" t="s">
        <v>301</v>
      </c>
      <c r="W208" s="129" t="s">
        <v>302</v>
      </c>
      <c r="X208" s="129" t="s">
        <v>303</v>
      </c>
      <c r="Y208" s="129" t="s">
        <v>695</v>
      </c>
      <c r="Z208" s="129" t="s">
        <v>304</v>
      </c>
      <c r="AA208" s="129" t="str">
        <f>""</f>
        <v/>
      </c>
      <c r="AB208" s="129">
        <v>15</v>
      </c>
      <c r="AC208" s="212">
        <v>0</v>
      </c>
      <c r="AD208" s="212" t="str">
        <f t="shared" si="22"/>
        <v/>
      </c>
      <c r="AE208" s="533" t="s">
        <v>738</v>
      </c>
      <c r="AF208" s="235">
        <v>31</v>
      </c>
      <c r="AG208" s="129"/>
    </row>
    <row r="209" spans="1:33" ht="15" x14ac:dyDescent="0.25">
      <c r="A209" s="129" t="s">
        <v>305</v>
      </c>
      <c r="B209" s="212">
        <v>144.50319999999999</v>
      </c>
      <c r="C209" s="205">
        <v>91.348100000000002</v>
      </c>
      <c r="D209" s="212"/>
      <c r="E209" s="205">
        <v>137.0222</v>
      </c>
      <c r="F209" s="205">
        <v>906.82500000000005</v>
      </c>
      <c r="G209" s="245">
        <f t="shared" si="21"/>
        <v>8.249662283240971</v>
      </c>
      <c r="H209" s="212">
        <v>0</v>
      </c>
      <c r="I209" s="212" t="str">
        <f>""</f>
        <v/>
      </c>
      <c r="J209" s="212"/>
      <c r="K209" s="212">
        <v>91.348100000000002</v>
      </c>
      <c r="L209" s="129">
        <v>8000</v>
      </c>
      <c r="M209" s="129">
        <v>15</v>
      </c>
      <c r="N209" s="203">
        <f t="shared" ref="N209:N215" si="43">MIN($B209,(75*$F209/1000)+$E209)</f>
        <v>144.50319999999999</v>
      </c>
      <c r="O209" s="203">
        <f t="shared" ref="O209:O215" si="44">MIN($B209,(150*$F209/1000)+$E209)</f>
        <v>144.50319999999999</v>
      </c>
      <c r="P209" s="203">
        <f t="shared" ref="P209:P215" si="45">MIN($B209,(225*$F209/1000)+$E209)</f>
        <v>144.50319999999999</v>
      </c>
      <c r="Q209" s="203">
        <f t="shared" si="27"/>
        <v>144.50319999999999</v>
      </c>
      <c r="R209" s="129" t="s">
        <v>298</v>
      </c>
      <c r="S209" s="129" t="str">
        <f>""</f>
        <v/>
      </c>
      <c r="T209" s="129" t="s">
        <v>299</v>
      </c>
      <c r="U209" s="129" t="s">
        <v>300</v>
      </c>
      <c r="V209" s="129" t="s">
        <v>301</v>
      </c>
      <c r="W209" s="129" t="s">
        <v>302</v>
      </c>
      <c r="X209" s="129" t="s">
        <v>303</v>
      </c>
      <c r="Y209" s="129" t="s">
        <v>695</v>
      </c>
      <c r="Z209" s="129" t="s">
        <v>304</v>
      </c>
      <c r="AA209" s="129" t="str">
        <f>""</f>
        <v/>
      </c>
      <c r="AB209" s="129">
        <v>15</v>
      </c>
      <c r="AC209" s="212">
        <v>0</v>
      </c>
      <c r="AD209" s="212" t="str">
        <f t="shared" si="22"/>
        <v/>
      </c>
      <c r="AE209" s="534"/>
      <c r="AF209" s="235">
        <v>31</v>
      </c>
      <c r="AG209" s="129"/>
    </row>
    <row r="210" spans="1:33" ht="15" x14ac:dyDescent="0.25">
      <c r="A210" s="129" t="s">
        <v>519</v>
      </c>
      <c r="B210" s="212">
        <v>170.99</v>
      </c>
      <c r="C210" s="205">
        <v>91.348100000000002</v>
      </c>
      <c r="D210" s="212"/>
      <c r="E210" s="205">
        <v>137.0222</v>
      </c>
      <c r="F210" s="205">
        <v>906.82500000000005</v>
      </c>
      <c r="G210" s="245">
        <f t="shared" ref="G210:G271" si="46">(B210-E210)*1000/F210</f>
        <v>37.457943925233657</v>
      </c>
      <c r="H210" s="212">
        <v>0</v>
      </c>
      <c r="I210" s="212" t="str">
        <f>""</f>
        <v/>
      </c>
      <c r="J210" s="212"/>
      <c r="K210" s="212">
        <v>91.348100000000002</v>
      </c>
      <c r="L210" s="129">
        <v>8000</v>
      </c>
      <c r="M210" s="129">
        <v>15</v>
      </c>
      <c r="N210" s="203">
        <f t="shared" si="43"/>
        <v>170.99</v>
      </c>
      <c r="O210" s="203">
        <f t="shared" si="44"/>
        <v>170.99</v>
      </c>
      <c r="P210" s="203">
        <f t="shared" si="45"/>
        <v>170.99</v>
      </c>
      <c r="Q210" s="203">
        <f t="shared" si="27"/>
        <v>170.99</v>
      </c>
      <c r="R210" s="129" t="s">
        <v>298</v>
      </c>
      <c r="S210" s="129" t="str">
        <f>""</f>
        <v/>
      </c>
      <c r="T210" s="129" t="s">
        <v>299</v>
      </c>
      <c r="U210" s="129" t="s">
        <v>300</v>
      </c>
      <c r="V210" s="129" t="s">
        <v>301</v>
      </c>
      <c r="W210" s="129" t="s">
        <v>302</v>
      </c>
      <c r="X210" s="129" t="s">
        <v>303</v>
      </c>
      <c r="Y210" s="129" t="s">
        <v>695</v>
      </c>
      <c r="Z210" s="129" t="s">
        <v>304</v>
      </c>
      <c r="AA210" s="129" t="str">
        <f>""</f>
        <v/>
      </c>
      <c r="AB210" s="129">
        <v>15</v>
      </c>
      <c r="AC210" s="212">
        <v>0</v>
      </c>
      <c r="AD210" s="212" t="str">
        <f t="shared" ref="AD210:AD271" si="47">IF(AC210&lt;B210,"",FALSE)</f>
        <v/>
      </c>
      <c r="AE210" s="534"/>
      <c r="AF210" s="235">
        <v>31</v>
      </c>
      <c r="AG210" s="129"/>
    </row>
    <row r="211" spans="1:33" ht="15" x14ac:dyDescent="0.25">
      <c r="A211" s="129" t="s">
        <v>306</v>
      </c>
      <c r="B211" s="212">
        <v>211.85249999999999</v>
      </c>
      <c r="C211" s="205">
        <v>91.348100000000002</v>
      </c>
      <c r="D211" s="212"/>
      <c r="E211" s="205">
        <v>137.0222</v>
      </c>
      <c r="F211" s="205">
        <v>893.82500000000005</v>
      </c>
      <c r="G211" s="245">
        <f t="shared" si="46"/>
        <v>83.719184404105931</v>
      </c>
      <c r="H211" s="212">
        <v>0</v>
      </c>
      <c r="I211" s="212" t="str">
        <f>""</f>
        <v/>
      </c>
      <c r="J211" s="212"/>
      <c r="K211" s="212">
        <v>91.348100000000002</v>
      </c>
      <c r="L211" s="129">
        <v>8000</v>
      </c>
      <c r="M211" s="129">
        <v>15</v>
      </c>
      <c r="N211" s="203">
        <f t="shared" si="43"/>
        <v>204.05907500000001</v>
      </c>
      <c r="O211" s="203">
        <f t="shared" si="44"/>
        <v>211.85249999999999</v>
      </c>
      <c r="P211" s="203">
        <f t="shared" si="45"/>
        <v>211.85249999999999</v>
      </c>
      <c r="Q211" s="203">
        <f t="shared" si="27"/>
        <v>211.85249999999999</v>
      </c>
      <c r="R211" s="129" t="s">
        <v>298</v>
      </c>
      <c r="S211" s="129" t="str">
        <f>""</f>
        <v/>
      </c>
      <c r="T211" s="129" t="s">
        <v>299</v>
      </c>
      <c r="U211" s="129" t="s">
        <v>300</v>
      </c>
      <c r="V211" s="129" t="s">
        <v>301</v>
      </c>
      <c r="W211" s="129" t="s">
        <v>307</v>
      </c>
      <c r="X211" s="129" t="s">
        <v>303</v>
      </c>
      <c r="Y211" s="129" t="s">
        <v>695</v>
      </c>
      <c r="Z211" s="129" t="s">
        <v>304</v>
      </c>
      <c r="AA211" s="129" t="str">
        <f>""</f>
        <v/>
      </c>
      <c r="AB211" s="129">
        <v>15</v>
      </c>
      <c r="AC211" s="212">
        <v>0</v>
      </c>
      <c r="AD211" s="212" t="str">
        <f t="shared" si="47"/>
        <v/>
      </c>
      <c r="AE211" s="534"/>
      <c r="AF211" s="235">
        <v>31</v>
      </c>
      <c r="AG211" s="129"/>
    </row>
    <row r="212" spans="1:33" ht="15" x14ac:dyDescent="0.25">
      <c r="A212" s="129" t="s">
        <v>308</v>
      </c>
      <c r="B212" s="212">
        <v>216.41079999999999</v>
      </c>
      <c r="C212" s="205">
        <v>91.348100000000002</v>
      </c>
      <c r="D212" s="212"/>
      <c r="E212" s="205">
        <v>137.0222</v>
      </c>
      <c r="F212" s="205">
        <v>826.5</v>
      </c>
      <c r="G212" s="245">
        <f t="shared" si="46"/>
        <v>96.053962492437975</v>
      </c>
      <c r="H212" s="212">
        <v>0</v>
      </c>
      <c r="I212" s="212" t="str">
        <f>""</f>
        <v/>
      </c>
      <c r="J212" s="212"/>
      <c r="K212" s="212">
        <v>91.348100000000002</v>
      </c>
      <c r="L212" s="129">
        <v>8000</v>
      </c>
      <c r="M212" s="129">
        <v>15</v>
      </c>
      <c r="N212" s="203">
        <f t="shared" si="43"/>
        <v>199.00970000000001</v>
      </c>
      <c r="O212" s="203">
        <f t="shared" si="44"/>
        <v>216.41079999999999</v>
      </c>
      <c r="P212" s="203">
        <f t="shared" si="45"/>
        <v>216.41079999999999</v>
      </c>
      <c r="Q212" s="203">
        <f t="shared" si="27"/>
        <v>216.41079999999999</v>
      </c>
      <c r="R212" s="129" t="s">
        <v>298</v>
      </c>
      <c r="S212" s="129" t="str">
        <f>""</f>
        <v/>
      </c>
      <c r="T212" s="129" t="s">
        <v>299</v>
      </c>
      <c r="U212" s="129" t="s">
        <v>300</v>
      </c>
      <c r="V212" s="129" t="s">
        <v>301</v>
      </c>
      <c r="W212" s="129" t="s">
        <v>302</v>
      </c>
      <c r="X212" s="129" t="s">
        <v>303</v>
      </c>
      <c r="Y212" s="129" t="s">
        <v>695</v>
      </c>
      <c r="Z212" s="129" t="s">
        <v>304</v>
      </c>
      <c r="AA212" s="129" t="str">
        <f>""</f>
        <v/>
      </c>
      <c r="AB212" s="129">
        <v>15</v>
      </c>
      <c r="AC212" s="212">
        <v>0</v>
      </c>
      <c r="AD212" s="212" t="str">
        <f t="shared" si="47"/>
        <v/>
      </c>
      <c r="AE212" s="534"/>
      <c r="AF212" s="235">
        <v>31</v>
      </c>
      <c r="AG212" s="129"/>
    </row>
    <row r="213" spans="1:33" ht="15" x14ac:dyDescent="0.25">
      <c r="A213" s="129" t="s">
        <v>727</v>
      </c>
      <c r="B213" s="212">
        <v>223.785</v>
      </c>
      <c r="C213" s="205">
        <v>0</v>
      </c>
      <c r="D213" s="212"/>
      <c r="E213" s="205">
        <v>49.328000000000003</v>
      </c>
      <c r="F213" s="205">
        <v>745.95</v>
      </c>
      <c r="G213" s="245">
        <f t="shared" si="46"/>
        <v>233.87224344795226</v>
      </c>
      <c r="H213" s="212">
        <v>0</v>
      </c>
      <c r="I213" s="212"/>
      <c r="J213" s="212"/>
      <c r="K213" s="212">
        <v>91.348100000000002</v>
      </c>
      <c r="L213" s="129">
        <v>8000</v>
      </c>
      <c r="M213" s="129">
        <v>15</v>
      </c>
      <c r="N213" s="203">
        <f t="shared" si="43"/>
        <v>105.27424999999999</v>
      </c>
      <c r="O213" s="203">
        <f t="shared" si="44"/>
        <v>161.22050000000002</v>
      </c>
      <c r="P213" s="203">
        <f t="shared" si="45"/>
        <v>217.16675000000001</v>
      </c>
      <c r="Q213" s="203">
        <f t="shared" si="27"/>
        <v>223.785</v>
      </c>
      <c r="R213" s="129"/>
      <c r="S213" s="129"/>
      <c r="T213" s="129"/>
      <c r="U213" s="129"/>
      <c r="V213" s="129"/>
      <c r="W213" s="129"/>
      <c r="X213" s="129"/>
      <c r="Y213" s="129" t="s">
        <v>695</v>
      </c>
      <c r="Z213" s="129" t="s">
        <v>304</v>
      </c>
      <c r="AA213" s="129"/>
      <c r="AB213" s="129">
        <v>15</v>
      </c>
      <c r="AC213" s="212">
        <v>0</v>
      </c>
      <c r="AD213" s="212" t="str">
        <f t="shared" si="47"/>
        <v/>
      </c>
      <c r="AE213" s="534"/>
      <c r="AF213" s="235">
        <v>31</v>
      </c>
      <c r="AG213" s="129"/>
    </row>
    <row r="214" spans="1:33" ht="15" x14ac:dyDescent="0.25">
      <c r="A214" s="244" t="s">
        <v>520</v>
      </c>
      <c r="B214" s="212">
        <v>147.60720000000001</v>
      </c>
      <c r="C214" s="205">
        <v>91.348100000000002</v>
      </c>
      <c r="D214" s="212"/>
      <c r="E214" s="205">
        <v>137.0222</v>
      </c>
      <c r="F214" s="205">
        <v>912.9</v>
      </c>
      <c r="G214" s="245">
        <f t="shared" si="46"/>
        <v>11.594917296527559</v>
      </c>
      <c r="H214" s="212">
        <v>0</v>
      </c>
      <c r="I214" s="212" t="str">
        <f>""</f>
        <v/>
      </c>
      <c r="J214" s="212"/>
      <c r="K214" s="212">
        <v>91.348100000000002</v>
      </c>
      <c r="L214" s="129">
        <v>8000</v>
      </c>
      <c r="M214" s="129">
        <v>15</v>
      </c>
      <c r="N214" s="203">
        <f t="shared" si="43"/>
        <v>147.60720000000001</v>
      </c>
      <c r="O214" s="203">
        <f t="shared" si="44"/>
        <v>147.60720000000001</v>
      </c>
      <c r="P214" s="203">
        <f t="shared" si="45"/>
        <v>147.60720000000001</v>
      </c>
      <c r="Q214" s="203">
        <f t="shared" si="27"/>
        <v>147.60720000000001</v>
      </c>
      <c r="R214" s="129" t="s">
        <v>298</v>
      </c>
      <c r="S214" s="129" t="str">
        <f>""</f>
        <v/>
      </c>
      <c r="T214" s="129" t="s">
        <v>299</v>
      </c>
      <c r="U214" s="129" t="s">
        <v>300</v>
      </c>
      <c r="V214" s="129" t="s">
        <v>301</v>
      </c>
      <c r="W214" s="129" t="s">
        <v>302</v>
      </c>
      <c r="X214" s="129" t="s">
        <v>303</v>
      </c>
      <c r="Y214" s="129" t="s">
        <v>695</v>
      </c>
      <c r="Z214" s="129" t="s">
        <v>304</v>
      </c>
      <c r="AA214" s="129" t="str">
        <f>""</f>
        <v/>
      </c>
      <c r="AB214" s="129">
        <v>15</v>
      </c>
      <c r="AC214" s="212">
        <v>0</v>
      </c>
      <c r="AD214" s="212" t="str">
        <f t="shared" si="47"/>
        <v/>
      </c>
      <c r="AE214" s="534"/>
      <c r="AF214" s="235">
        <v>31</v>
      </c>
      <c r="AG214" s="129"/>
    </row>
    <row r="215" spans="1:33" ht="15" x14ac:dyDescent="0.25">
      <c r="A215" s="129" t="s">
        <v>309</v>
      </c>
      <c r="B215" s="212">
        <v>197.0111</v>
      </c>
      <c r="C215" s="205">
        <v>91.348100000000002</v>
      </c>
      <c r="D215" s="212"/>
      <c r="E215" s="205">
        <v>137.0222</v>
      </c>
      <c r="F215" s="205">
        <v>842.25</v>
      </c>
      <c r="G215" s="245">
        <f t="shared" si="46"/>
        <v>71.224577025823692</v>
      </c>
      <c r="H215" s="212">
        <v>0</v>
      </c>
      <c r="I215" s="212" t="str">
        <f>""</f>
        <v/>
      </c>
      <c r="J215" s="212"/>
      <c r="K215" s="212">
        <v>91.348100000000002</v>
      </c>
      <c r="L215" s="129">
        <v>8000</v>
      </c>
      <c r="M215" s="129">
        <v>15</v>
      </c>
      <c r="N215" s="203">
        <f t="shared" si="43"/>
        <v>197.0111</v>
      </c>
      <c r="O215" s="203">
        <f t="shared" si="44"/>
        <v>197.0111</v>
      </c>
      <c r="P215" s="203">
        <f t="shared" si="45"/>
        <v>197.0111</v>
      </c>
      <c r="Q215" s="203">
        <f t="shared" si="27"/>
        <v>197.0111</v>
      </c>
      <c r="R215" s="129" t="s">
        <v>298</v>
      </c>
      <c r="S215" s="129" t="str">
        <f>""</f>
        <v/>
      </c>
      <c r="T215" s="129" t="s">
        <v>299</v>
      </c>
      <c r="U215" s="129" t="s">
        <v>300</v>
      </c>
      <c r="V215" s="129" t="s">
        <v>301</v>
      </c>
      <c r="W215" s="129" t="s">
        <v>302</v>
      </c>
      <c r="X215" s="129" t="s">
        <v>303</v>
      </c>
      <c r="Y215" s="129" t="s">
        <v>695</v>
      </c>
      <c r="Z215" s="129" t="s">
        <v>304</v>
      </c>
      <c r="AA215" s="129" t="str">
        <f>""</f>
        <v/>
      </c>
      <c r="AB215" s="129">
        <v>15</v>
      </c>
      <c r="AC215" s="212">
        <v>0</v>
      </c>
      <c r="AD215" s="212" t="str">
        <f t="shared" si="47"/>
        <v/>
      </c>
      <c r="AE215" s="535"/>
      <c r="AF215" s="235">
        <v>31</v>
      </c>
      <c r="AG215" s="129"/>
    </row>
    <row r="216" spans="1:33" ht="15" x14ac:dyDescent="0.25">
      <c r="A216" s="129"/>
      <c r="B216" s="212"/>
      <c r="C216" s="205"/>
      <c r="D216" s="212"/>
      <c r="E216" s="205"/>
      <c r="F216" s="205"/>
      <c r="G216" s="245"/>
      <c r="H216" s="212"/>
      <c r="I216" s="212"/>
      <c r="J216" s="212"/>
      <c r="K216" s="212"/>
      <c r="L216" s="129"/>
      <c r="M216" s="129"/>
      <c r="N216" s="203"/>
      <c r="O216" s="203"/>
      <c r="P216" s="203"/>
      <c r="Q216" s="203"/>
      <c r="R216" s="129"/>
      <c r="S216" s="129"/>
      <c r="T216" s="129"/>
      <c r="U216" s="129"/>
      <c r="V216" s="129"/>
      <c r="W216" s="129"/>
      <c r="X216" s="129"/>
      <c r="Y216" s="129"/>
      <c r="Z216" s="129"/>
      <c r="AA216" s="129"/>
      <c r="AB216" s="129"/>
      <c r="AC216" s="212"/>
      <c r="AD216" s="212"/>
      <c r="AE216" s="212"/>
      <c r="AF216" s="236"/>
      <c r="AG216" s="129"/>
    </row>
    <row r="217" spans="1:33" ht="15" x14ac:dyDescent="0.25">
      <c r="A217" s="206" t="s">
        <v>310</v>
      </c>
      <c r="B217" s="212"/>
      <c r="C217" s="205"/>
      <c r="D217" s="212"/>
      <c r="E217" s="205"/>
      <c r="F217" s="205"/>
      <c r="G217" s="245"/>
      <c r="H217" s="212"/>
      <c r="I217" s="212"/>
      <c r="J217" s="212"/>
      <c r="K217" s="212"/>
      <c r="L217" s="129"/>
      <c r="M217" s="129"/>
      <c r="N217" s="203"/>
      <c r="O217" s="203"/>
      <c r="P217" s="203"/>
      <c r="Q217" s="203"/>
      <c r="R217" s="129"/>
      <c r="S217" s="129"/>
      <c r="T217" s="129"/>
      <c r="U217" s="129"/>
      <c r="V217" s="129"/>
      <c r="W217" s="129"/>
      <c r="X217" s="129"/>
      <c r="Y217" s="129"/>
      <c r="Z217" s="129"/>
      <c r="AA217" s="129"/>
      <c r="AB217" s="129"/>
      <c r="AC217" s="212"/>
      <c r="AD217" s="212"/>
      <c r="AE217" s="212"/>
      <c r="AF217" s="236"/>
      <c r="AG217" s="129"/>
    </row>
    <row r="218" spans="1:33" ht="15" x14ac:dyDescent="0.25">
      <c r="A218" s="129" t="s">
        <v>947</v>
      </c>
      <c r="B218" s="212">
        <v>249.6473</v>
      </c>
      <c r="C218" s="205">
        <v>0</v>
      </c>
      <c r="D218" s="212"/>
      <c r="E218" s="205">
        <v>0</v>
      </c>
      <c r="F218" s="205">
        <v>906.82500000000005</v>
      </c>
      <c r="G218" s="245">
        <f t="shared" si="46"/>
        <v>275.29821079039505</v>
      </c>
      <c r="H218" s="212">
        <v>0</v>
      </c>
      <c r="I218" s="212" t="str">
        <f>""</f>
        <v/>
      </c>
      <c r="J218" s="212"/>
      <c r="K218" s="212">
        <v>0</v>
      </c>
      <c r="L218" s="129">
        <v>4000</v>
      </c>
      <c r="M218" s="129">
        <v>15</v>
      </c>
      <c r="N218" s="203">
        <f>MIN($B218,(75*$F218/1000)+$E218)</f>
        <v>68.011875000000003</v>
      </c>
      <c r="O218" s="203">
        <f>MIN($B218,(150*$F218/1000)+$E218)</f>
        <v>136.02375000000001</v>
      </c>
      <c r="P218" s="203">
        <f>MIN($B218,(225*$F218/1000)+$E218)</f>
        <v>204.03562500000001</v>
      </c>
      <c r="Q218" s="203">
        <f t="shared" si="27"/>
        <v>249.6473</v>
      </c>
      <c r="R218" s="129" t="s">
        <v>298</v>
      </c>
      <c r="S218" s="129" t="str">
        <f>""</f>
        <v/>
      </c>
      <c r="T218" s="129" t="s">
        <v>311</v>
      </c>
      <c r="U218" s="129" t="s">
        <v>300</v>
      </c>
      <c r="V218" s="129" t="s">
        <v>301</v>
      </c>
      <c r="W218" s="129" t="s">
        <v>302</v>
      </c>
      <c r="X218" s="129" t="s">
        <v>303</v>
      </c>
      <c r="Y218" s="129" t="s">
        <v>695</v>
      </c>
      <c r="Z218" s="129" t="s">
        <v>304</v>
      </c>
      <c r="AA218" s="129" t="str">
        <f>""</f>
        <v/>
      </c>
      <c r="AB218" s="129">
        <v>15</v>
      </c>
      <c r="AC218" s="212">
        <v>0</v>
      </c>
      <c r="AD218" s="212" t="str">
        <f t="shared" si="47"/>
        <v/>
      </c>
      <c r="AE218" s="212" t="s">
        <v>627</v>
      </c>
      <c r="AF218" s="235">
        <v>43</v>
      </c>
      <c r="AG218" s="129"/>
    </row>
    <row r="219" spans="1:33" ht="15" x14ac:dyDescent="0.25">
      <c r="A219" s="129" t="s">
        <v>312</v>
      </c>
      <c r="B219" s="212">
        <v>144.50319999999999</v>
      </c>
      <c r="C219" s="205">
        <v>0</v>
      </c>
      <c r="D219" s="212"/>
      <c r="E219" s="205">
        <v>0</v>
      </c>
      <c r="F219" s="205">
        <v>906.82500000000005</v>
      </c>
      <c r="G219" s="245">
        <f t="shared" si="46"/>
        <v>159.35070162379728</v>
      </c>
      <c r="H219" s="212">
        <v>0</v>
      </c>
      <c r="I219" s="212" t="str">
        <f>""</f>
        <v/>
      </c>
      <c r="J219" s="212"/>
      <c r="K219" s="212">
        <v>0</v>
      </c>
      <c r="L219" s="129">
        <v>8000</v>
      </c>
      <c r="M219" s="129">
        <v>15</v>
      </c>
      <c r="N219" s="203">
        <f t="shared" ref="N219:N225" si="48">MIN($B219,(75*$F219/1000)+$E219)</f>
        <v>68.011875000000003</v>
      </c>
      <c r="O219" s="203">
        <f t="shared" ref="O219:O225" si="49">MIN($B219,(150*$F219/1000)+$E219)</f>
        <v>136.02375000000001</v>
      </c>
      <c r="P219" s="203">
        <f t="shared" ref="P219:P225" si="50">MIN($B219,(225*$F219/1000)+$E219)</f>
        <v>144.50319999999999</v>
      </c>
      <c r="Q219" s="203">
        <f t="shared" si="27"/>
        <v>144.50319999999999</v>
      </c>
      <c r="R219" s="129" t="s">
        <v>298</v>
      </c>
      <c r="S219" s="129" t="str">
        <f>""</f>
        <v/>
      </c>
      <c r="T219" s="129" t="s">
        <v>311</v>
      </c>
      <c r="U219" s="129" t="s">
        <v>300</v>
      </c>
      <c r="V219" s="129" t="s">
        <v>301</v>
      </c>
      <c r="W219" s="129" t="s">
        <v>302</v>
      </c>
      <c r="X219" s="129" t="s">
        <v>303</v>
      </c>
      <c r="Y219" s="129" t="s">
        <v>695</v>
      </c>
      <c r="Z219" s="129" t="s">
        <v>304</v>
      </c>
      <c r="AA219" s="129" t="str">
        <f>""</f>
        <v/>
      </c>
      <c r="AB219" s="129">
        <v>15</v>
      </c>
      <c r="AC219" s="212">
        <v>0</v>
      </c>
      <c r="AD219" s="212" t="str">
        <f t="shared" si="47"/>
        <v/>
      </c>
      <c r="AE219" s="212" t="s">
        <v>627</v>
      </c>
      <c r="AF219" s="235">
        <v>43</v>
      </c>
      <c r="AG219" s="129"/>
    </row>
    <row r="220" spans="1:33" ht="15" x14ac:dyDescent="0.25">
      <c r="A220" s="129" t="s">
        <v>521</v>
      </c>
      <c r="B220" s="212">
        <v>170.99</v>
      </c>
      <c r="C220" s="205">
        <v>0</v>
      </c>
      <c r="D220" s="212"/>
      <c r="E220" s="205">
        <v>0</v>
      </c>
      <c r="F220" s="205">
        <v>906.82500000000005</v>
      </c>
      <c r="G220" s="245">
        <f t="shared" si="46"/>
        <v>188.55898326578998</v>
      </c>
      <c r="H220" s="212">
        <v>0</v>
      </c>
      <c r="I220" s="212" t="str">
        <f>""</f>
        <v/>
      </c>
      <c r="J220" s="212"/>
      <c r="K220" s="212">
        <v>0</v>
      </c>
      <c r="L220" s="129">
        <v>8000</v>
      </c>
      <c r="M220" s="129">
        <v>15</v>
      </c>
      <c r="N220" s="203">
        <f t="shared" si="48"/>
        <v>68.011875000000003</v>
      </c>
      <c r="O220" s="203">
        <f t="shared" si="49"/>
        <v>136.02375000000001</v>
      </c>
      <c r="P220" s="203">
        <f t="shared" si="50"/>
        <v>170.99</v>
      </c>
      <c r="Q220" s="203">
        <f t="shared" si="27"/>
        <v>170.99</v>
      </c>
      <c r="R220" s="129" t="s">
        <v>298</v>
      </c>
      <c r="S220" s="129" t="str">
        <f>""</f>
        <v/>
      </c>
      <c r="T220" s="129" t="s">
        <v>311</v>
      </c>
      <c r="U220" s="129" t="s">
        <v>300</v>
      </c>
      <c r="V220" s="129" t="s">
        <v>301</v>
      </c>
      <c r="W220" s="129" t="s">
        <v>302</v>
      </c>
      <c r="X220" s="129" t="s">
        <v>303</v>
      </c>
      <c r="Y220" s="129" t="s">
        <v>695</v>
      </c>
      <c r="Z220" s="129" t="s">
        <v>304</v>
      </c>
      <c r="AA220" s="129" t="str">
        <f>""</f>
        <v/>
      </c>
      <c r="AB220" s="129">
        <v>15</v>
      </c>
      <c r="AC220" s="212">
        <v>0</v>
      </c>
      <c r="AD220" s="212" t="str">
        <f t="shared" si="47"/>
        <v/>
      </c>
      <c r="AE220" s="212" t="s">
        <v>627</v>
      </c>
      <c r="AF220" s="235">
        <v>43</v>
      </c>
      <c r="AG220" s="129"/>
    </row>
    <row r="221" spans="1:33" ht="15" x14ac:dyDescent="0.25">
      <c r="A221" s="129" t="s">
        <v>313</v>
      </c>
      <c r="B221" s="212">
        <v>211.85249999999999</v>
      </c>
      <c r="C221" s="205">
        <v>0</v>
      </c>
      <c r="D221" s="212"/>
      <c r="E221" s="205">
        <v>0</v>
      </c>
      <c r="F221" s="205">
        <v>893.82500000000005</v>
      </c>
      <c r="G221" s="245">
        <f t="shared" si="46"/>
        <v>237.01787262607331</v>
      </c>
      <c r="H221" s="212">
        <v>0</v>
      </c>
      <c r="I221" s="212" t="str">
        <f>""</f>
        <v/>
      </c>
      <c r="J221" s="212"/>
      <c r="K221" s="212">
        <v>0</v>
      </c>
      <c r="L221" s="129">
        <v>8000</v>
      </c>
      <c r="M221" s="129">
        <v>15</v>
      </c>
      <c r="N221" s="203">
        <f t="shared" si="48"/>
        <v>67.036874999999995</v>
      </c>
      <c r="O221" s="203">
        <f t="shared" si="49"/>
        <v>134.07374999999999</v>
      </c>
      <c r="P221" s="203">
        <f t="shared" si="50"/>
        <v>201.110625</v>
      </c>
      <c r="Q221" s="203">
        <f t="shared" ref="Q221:Q225" si="51">MIN($B221,(300*$F221/1000)+$E221)</f>
        <v>211.85249999999999</v>
      </c>
      <c r="R221" s="129" t="s">
        <v>298</v>
      </c>
      <c r="S221" s="129" t="str">
        <f>""</f>
        <v/>
      </c>
      <c r="T221" s="129" t="s">
        <v>311</v>
      </c>
      <c r="U221" s="129" t="s">
        <v>300</v>
      </c>
      <c r="V221" s="129" t="s">
        <v>301</v>
      </c>
      <c r="W221" s="129" t="s">
        <v>307</v>
      </c>
      <c r="X221" s="129" t="s">
        <v>303</v>
      </c>
      <c r="Y221" s="129" t="s">
        <v>695</v>
      </c>
      <c r="Z221" s="129" t="s">
        <v>304</v>
      </c>
      <c r="AA221" s="129" t="str">
        <f>""</f>
        <v/>
      </c>
      <c r="AB221" s="129">
        <v>15</v>
      </c>
      <c r="AC221" s="212">
        <v>0</v>
      </c>
      <c r="AD221" s="212" t="str">
        <f t="shared" si="47"/>
        <v/>
      </c>
      <c r="AE221" s="212" t="s">
        <v>627</v>
      </c>
      <c r="AF221" s="235">
        <v>43</v>
      </c>
      <c r="AG221" s="129"/>
    </row>
    <row r="222" spans="1:33" ht="15" x14ac:dyDescent="0.25">
      <c r="A222" s="129" t="s">
        <v>314</v>
      </c>
      <c r="B222" s="212">
        <v>216.41079999999999</v>
      </c>
      <c r="C222" s="205">
        <v>0</v>
      </c>
      <c r="D222" s="212"/>
      <c r="E222" s="205">
        <v>0</v>
      </c>
      <c r="F222" s="205">
        <v>826.5</v>
      </c>
      <c r="G222" s="245">
        <f t="shared" si="46"/>
        <v>261.84004839685417</v>
      </c>
      <c r="H222" s="212">
        <v>0</v>
      </c>
      <c r="I222" s="212" t="str">
        <f>""</f>
        <v/>
      </c>
      <c r="J222" s="212"/>
      <c r="K222" s="212">
        <v>0</v>
      </c>
      <c r="L222" s="129">
        <v>8000</v>
      </c>
      <c r="M222" s="129">
        <v>15</v>
      </c>
      <c r="N222" s="203">
        <f t="shared" si="48"/>
        <v>61.987499999999997</v>
      </c>
      <c r="O222" s="203">
        <f t="shared" si="49"/>
        <v>123.97499999999999</v>
      </c>
      <c r="P222" s="203">
        <f t="shared" si="50"/>
        <v>185.96250000000001</v>
      </c>
      <c r="Q222" s="203">
        <f t="shared" si="51"/>
        <v>216.41079999999999</v>
      </c>
      <c r="R222" s="129" t="s">
        <v>298</v>
      </c>
      <c r="S222" s="129" t="str">
        <f>""</f>
        <v/>
      </c>
      <c r="T222" s="129" t="s">
        <v>311</v>
      </c>
      <c r="U222" s="129" t="s">
        <v>300</v>
      </c>
      <c r="V222" s="129" t="s">
        <v>301</v>
      </c>
      <c r="W222" s="129" t="s">
        <v>302</v>
      </c>
      <c r="X222" s="129" t="s">
        <v>303</v>
      </c>
      <c r="Y222" s="129" t="s">
        <v>695</v>
      </c>
      <c r="Z222" s="129" t="s">
        <v>304</v>
      </c>
      <c r="AA222" s="129" t="str">
        <f>""</f>
        <v/>
      </c>
      <c r="AB222" s="129">
        <v>15</v>
      </c>
      <c r="AC222" s="212">
        <v>0</v>
      </c>
      <c r="AD222" s="212" t="str">
        <f t="shared" si="47"/>
        <v/>
      </c>
      <c r="AE222" s="212" t="s">
        <v>627</v>
      </c>
      <c r="AF222" s="235">
        <v>43</v>
      </c>
      <c r="AG222" s="129"/>
    </row>
    <row r="223" spans="1:33" ht="15" x14ac:dyDescent="0.25">
      <c r="A223" s="129" t="s">
        <v>523</v>
      </c>
      <c r="B223" s="212">
        <v>147.60720000000001</v>
      </c>
      <c r="C223" s="205">
        <v>0</v>
      </c>
      <c r="D223" s="212"/>
      <c r="E223" s="205">
        <v>0</v>
      </c>
      <c r="F223" s="205">
        <v>912.9</v>
      </c>
      <c r="G223" s="245">
        <f t="shared" si="46"/>
        <v>161.69043706868223</v>
      </c>
      <c r="H223" s="212">
        <v>0</v>
      </c>
      <c r="I223" s="212" t="str">
        <f>""</f>
        <v/>
      </c>
      <c r="J223" s="212"/>
      <c r="K223" s="212">
        <v>0</v>
      </c>
      <c r="L223" s="129">
        <v>8000</v>
      </c>
      <c r="M223" s="129">
        <v>15</v>
      </c>
      <c r="N223" s="203">
        <f t="shared" si="48"/>
        <v>68.467500000000001</v>
      </c>
      <c r="O223" s="203">
        <f t="shared" si="49"/>
        <v>136.935</v>
      </c>
      <c r="P223" s="203">
        <f t="shared" si="50"/>
        <v>147.60720000000001</v>
      </c>
      <c r="Q223" s="203">
        <f t="shared" si="51"/>
        <v>147.60720000000001</v>
      </c>
      <c r="R223" s="129" t="s">
        <v>298</v>
      </c>
      <c r="S223" s="129" t="str">
        <f>""</f>
        <v/>
      </c>
      <c r="T223" s="129" t="s">
        <v>311</v>
      </c>
      <c r="U223" s="129" t="s">
        <v>300</v>
      </c>
      <c r="V223" s="129" t="s">
        <v>301</v>
      </c>
      <c r="W223" s="129" t="s">
        <v>302</v>
      </c>
      <c r="X223" s="129" t="s">
        <v>303</v>
      </c>
      <c r="Y223" s="129" t="s">
        <v>695</v>
      </c>
      <c r="Z223" s="129" t="s">
        <v>304</v>
      </c>
      <c r="AA223" s="129" t="str">
        <f>""</f>
        <v/>
      </c>
      <c r="AB223" s="129">
        <v>15</v>
      </c>
      <c r="AC223" s="212">
        <v>0</v>
      </c>
      <c r="AD223" s="212" t="str">
        <f t="shared" si="47"/>
        <v/>
      </c>
      <c r="AE223" s="212" t="s">
        <v>627</v>
      </c>
      <c r="AF223" s="235">
        <v>43</v>
      </c>
      <c r="AG223" s="129"/>
    </row>
    <row r="224" spans="1:33" ht="15" x14ac:dyDescent="0.25">
      <c r="A224" s="129" t="s">
        <v>315</v>
      </c>
      <c r="B224" s="212">
        <v>197.0111</v>
      </c>
      <c r="C224" s="205">
        <v>0</v>
      </c>
      <c r="D224" s="212"/>
      <c r="E224" s="205">
        <v>0</v>
      </c>
      <c r="F224" s="205">
        <v>842.25</v>
      </c>
      <c r="G224" s="245">
        <f t="shared" si="46"/>
        <v>233.91047788661325</v>
      </c>
      <c r="H224" s="212">
        <v>0</v>
      </c>
      <c r="I224" s="212" t="str">
        <f>""</f>
        <v/>
      </c>
      <c r="J224" s="212"/>
      <c r="K224" s="212">
        <v>0</v>
      </c>
      <c r="L224" s="129">
        <v>8000</v>
      </c>
      <c r="M224" s="129">
        <v>15</v>
      </c>
      <c r="N224" s="203">
        <f t="shared" si="48"/>
        <v>63.168750000000003</v>
      </c>
      <c r="O224" s="203">
        <f t="shared" si="49"/>
        <v>126.33750000000001</v>
      </c>
      <c r="P224" s="203">
        <f t="shared" si="50"/>
        <v>189.50624999999999</v>
      </c>
      <c r="Q224" s="203">
        <f t="shared" si="51"/>
        <v>197.0111</v>
      </c>
      <c r="R224" s="129" t="s">
        <v>298</v>
      </c>
      <c r="S224" s="129" t="str">
        <f>""</f>
        <v/>
      </c>
      <c r="T224" s="129" t="s">
        <v>311</v>
      </c>
      <c r="U224" s="129" t="s">
        <v>300</v>
      </c>
      <c r="V224" s="129" t="s">
        <v>301</v>
      </c>
      <c r="W224" s="129" t="s">
        <v>302</v>
      </c>
      <c r="X224" s="129" t="s">
        <v>303</v>
      </c>
      <c r="Y224" s="129" t="s">
        <v>695</v>
      </c>
      <c r="Z224" s="129" t="s">
        <v>304</v>
      </c>
      <c r="AA224" s="129" t="str">
        <f>""</f>
        <v/>
      </c>
      <c r="AB224" s="129">
        <v>15</v>
      </c>
      <c r="AC224" s="212">
        <v>0</v>
      </c>
      <c r="AD224" s="212" t="str">
        <f t="shared" si="47"/>
        <v/>
      </c>
      <c r="AE224" s="212" t="s">
        <v>627</v>
      </c>
      <c r="AF224" s="235">
        <v>43</v>
      </c>
      <c r="AG224" s="129"/>
    </row>
    <row r="225" spans="1:33" ht="15" x14ac:dyDescent="0.25">
      <c r="A225" s="129" t="s">
        <v>956</v>
      </c>
      <c r="B225" s="212">
        <v>223.785</v>
      </c>
      <c r="C225" s="205">
        <v>0</v>
      </c>
      <c r="D225" s="212"/>
      <c r="E225" s="205">
        <v>0</v>
      </c>
      <c r="F225" s="205">
        <v>745.95</v>
      </c>
      <c r="G225" s="245">
        <f t="shared" si="46"/>
        <v>300</v>
      </c>
      <c r="H225" s="212">
        <v>0</v>
      </c>
      <c r="I225" s="212"/>
      <c r="J225" s="212"/>
      <c r="K225" s="212">
        <v>0</v>
      </c>
      <c r="L225" s="129">
        <v>8000</v>
      </c>
      <c r="M225" s="129">
        <v>15</v>
      </c>
      <c r="N225" s="203">
        <f t="shared" si="48"/>
        <v>55.946249999999999</v>
      </c>
      <c r="O225" s="203">
        <f t="shared" si="49"/>
        <v>111.8925</v>
      </c>
      <c r="P225" s="203">
        <f t="shared" si="50"/>
        <v>167.83875</v>
      </c>
      <c r="Q225" s="203">
        <f t="shared" si="51"/>
        <v>223.785</v>
      </c>
      <c r="R225" s="129" t="s">
        <v>298</v>
      </c>
      <c r="S225" s="129" t="str">
        <f>""</f>
        <v/>
      </c>
      <c r="T225" s="129" t="s">
        <v>311</v>
      </c>
      <c r="U225" s="129" t="s">
        <v>300</v>
      </c>
      <c r="V225" s="129" t="s">
        <v>301</v>
      </c>
      <c r="W225" s="129" t="s">
        <v>302</v>
      </c>
      <c r="X225" s="129" t="s">
        <v>303</v>
      </c>
      <c r="Y225" s="129" t="s">
        <v>695</v>
      </c>
      <c r="Z225" s="129" t="s">
        <v>304</v>
      </c>
      <c r="AA225" s="129"/>
      <c r="AB225" s="129">
        <v>15</v>
      </c>
      <c r="AC225" s="212">
        <v>0</v>
      </c>
      <c r="AD225" s="212"/>
      <c r="AE225" s="212" t="s">
        <v>627</v>
      </c>
      <c r="AF225" s="235">
        <v>43</v>
      </c>
      <c r="AG225" s="129"/>
    </row>
    <row r="226" spans="1:33" ht="15" x14ac:dyDescent="0.25">
      <c r="A226" s="129"/>
      <c r="B226" s="212"/>
      <c r="C226" s="205"/>
      <c r="D226" s="212"/>
      <c r="E226" s="205"/>
      <c r="F226" s="205"/>
      <c r="G226" s="245"/>
      <c r="H226" s="212"/>
      <c r="I226" s="212"/>
      <c r="J226" s="212"/>
      <c r="K226" s="212"/>
      <c r="L226" s="129"/>
      <c r="M226" s="129"/>
      <c r="N226" s="203"/>
      <c r="O226" s="203"/>
      <c r="P226" s="203"/>
      <c r="Q226" s="203"/>
      <c r="R226" s="129"/>
      <c r="S226" s="129"/>
      <c r="T226" s="129"/>
      <c r="U226" s="129"/>
      <c r="V226" s="129"/>
      <c r="W226" s="129"/>
      <c r="X226" s="129"/>
      <c r="Y226" s="129"/>
      <c r="Z226" s="129"/>
      <c r="AA226" s="129"/>
      <c r="AB226" s="129"/>
      <c r="AC226" s="212"/>
      <c r="AD226" s="212"/>
      <c r="AE226" s="212"/>
      <c r="AF226" s="236"/>
      <c r="AG226" s="129"/>
    </row>
    <row r="227" spans="1:33" ht="15" x14ac:dyDescent="0.25">
      <c r="A227" s="206" t="s">
        <v>316</v>
      </c>
      <c r="B227" s="212"/>
      <c r="C227" s="205"/>
      <c r="D227" s="212"/>
      <c r="E227" s="205"/>
      <c r="F227" s="205"/>
      <c r="G227" s="245"/>
      <c r="H227" s="212"/>
      <c r="I227" s="212"/>
      <c r="J227" s="212"/>
      <c r="K227" s="212"/>
      <c r="L227" s="129"/>
      <c r="M227" s="129"/>
      <c r="N227" s="203"/>
      <c r="O227" s="203"/>
      <c r="P227" s="203"/>
      <c r="Q227" s="203"/>
      <c r="R227" s="129"/>
      <c r="S227" s="129"/>
      <c r="T227" s="129"/>
      <c r="U227" s="129"/>
      <c r="V227" s="129"/>
      <c r="W227" s="129"/>
      <c r="X227" s="129"/>
      <c r="Y227" s="129"/>
      <c r="Z227" s="129"/>
      <c r="AA227" s="129"/>
      <c r="AB227" s="129"/>
      <c r="AC227" s="212"/>
      <c r="AD227" s="212"/>
      <c r="AE227" s="212"/>
      <c r="AF227" s="236"/>
      <c r="AG227" s="129"/>
    </row>
    <row r="228" spans="1:33" ht="15" x14ac:dyDescent="0.25">
      <c r="A228" s="129" t="s">
        <v>948</v>
      </c>
      <c r="B228" s="212">
        <v>340.87040000000002</v>
      </c>
      <c r="C228" s="205">
        <v>91.348100000000002</v>
      </c>
      <c r="D228" s="212"/>
      <c r="E228" s="205">
        <v>137.0222</v>
      </c>
      <c r="F228" s="205">
        <v>902.01499999999999</v>
      </c>
      <c r="G228" s="245">
        <f t="shared" si="46"/>
        <v>225.99202895738986</v>
      </c>
      <c r="H228" s="212">
        <v>0</v>
      </c>
      <c r="I228" s="212" t="str">
        <f>""</f>
        <v/>
      </c>
      <c r="J228" s="212"/>
      <c r="K228" s="212">
        <v>91.348100000000002</v>
      </c>
      <c r="L228" s="129">
        <v>4000</v>
      </c>
      <c r="M228" s="129">
        <v>15</v>
      </c>
      <c r="N228" s="203">
        <f>MIN($B228,(75*$F228/1000)+$E228)</f>
        <v>204.67332499999998</v>
      </c>
      <c r="O228" s="203">
        <f>MIN($B228,(150*$F228/1000)+$E228)</f>
        <v>272.32444999999996</v>
      </c>
      <c r="P228" s="203">
        <f>MIN($B228,(225*$F228/1000)+$E228)</f>
        <v>339.97557499999999</v>
      </c>
      <c r="Q228" s="203">
        <f t="shared" ref="Q228:Q287" si="52">MIN($B228,(300*$F228/1000)+$E228)</f>
        <v>340.87040000000002</v>
      </c>
      <c r="R228" s="129" t="s">
        <v>298</v>
      </c>
      <c r="S228" s="129" t="str">
        <f>""</f>
        <v/>
      </c>
      <c r="T228" s="129" t="s">
        <v>299</v>
      </c>
      <c r="U228" s="129" t="s">
        <v>300</v>
      </c>
      <c r="V228" s="129" t="s">
        <v>301</v>
      </c>
      <c r="W228" s="129" t="s">
        <v>302</v>
      </c>
      <c r="X228" s="129" t="s">
        <v>303</v>
      </c>
      <c r="Y228" s="129" t="s">
        <v>695</v>
      </c>
      <c r="Z228" s="129" t="s">
        <v>304</v>
      </c>
      <c r="AA228" s="129" t="str">
        <f>""</f>
        <v/>
      </c>
      <c r="AB228" s="129">
        <v>15</v>
      </c>
      <c r="AC228" s="212">
        <v>0</v>
      </c>
      <c r="AD228" s="212" t="str">
        <f t="shared" si="47"/>
        <v/>
      </c>
      <c r="AE228" s="536" t="s">
        <v>738</v>
      </c>
      <c r="AF228" s="235">
        <v>31</v>
      </c>
      <c r="AG228" s="129"/>
    </row>
    <row r="229" spans="1:33" ht="15" x14ac:dyDescent="0.25">
      <c r="A229" s="129" t="s">
        <v>949</v>
      </c>
      <c r="B229" s="212">
        <v>293.69630000000001</v>
      </c>
      <c r="C229" s="205">
        <v>91.348100000000002</v>
      </c>
      <c r="D229" s="212"/>
      <c r="E229" s="205">
        <v>137.0222</v>
      </c>
      <c r="F229" s="205">
        <v>902.01499999999999</v>
      </c>
      <c r="G229" s="245">
        <f t="shared" si="46"/>
        <v>173.69345299135824</v>
      </c>
      <c r="H229" s="212">
        <v>0</v>
      </c>
      <c r="I229" s="212" t="str">
        <f>""</f>
        <v/>
      </c>
      <c r="J229" s="212"/>
      <c r="K229" s="212">
        <v>91.348100000000002</v>
      </c>
      <c r="L229" s="129">
        <v>4000</v>
      </c>
      <c r="M229" s="129">
        <v>15</v>
      </c>
      <c r="N229" s="203">
        <f t="shared" ref="N229:N236" si="53">MIN($B229,(75*$F229/1000)+$E229)</f>
        <v>204.67332499999998</v>
      </c>
      <c r="O229" s="203">
        <f t="shared" ref="O229:O236" si="54">MIN($B229,(150*$F229/1000)+$E229)</f>
        <v>272.32444999999996</v>
      </c>
      <c r="P229" s="203">
        <f t="shared" ref="P229:P236" si="55">MIN($B229,(225*$F229/1000)+$E229)</f>
        <v>293.69630000000001</v>
      </c>
      <c r="Q229" s="203">
        <f t="shared" si="52"/>
        <v>293.69630000000001</v>
      </c>
      <c r="R229" s="129" t="s">
        <v>298</v>
      </c>
      <c r="S229" s="129" t="str">
        <f>""</f>
        <v/>
      </c>
      <c r="T229" s="129" t="s">
        <v>299</v>
      </c>
      <c r="U229" s="129" t="s">
        <v>300</v>
      </c>
      <c r="V229" s="129" t="s">
        <v>301</v>
      </c>
      <c r="W229" s="129" t="s">
        <v>302</v>
      </c>
      <c r="X229" s="129" t="s">
        <v>303</v>
      </c>
      <c r="Y229" s="129" t="s">
        <v>695</v>
      </c>
      <c r="Z229" s="129" t="s">
        <v>304</v>
      </c>
      <c r="AA229" s="129" t="str">
        <f>""</f>
        <v/>
      </c>
      <c r="AB229" s="129">
        <v>15</v>
      </c>
      <c r="AC229" s="212">
        <v>0</v>
      </c>
      <c r="AD229" s="212" t="str">
        <f t="shared" si="47"/>
        <v/>
      </c>
      <c r="AE229" s="537"/>
      <c r="AF229" s="235">
        <v>31</v>
      </c>
      <c r="AG229" s="129"/>
    </row>
    <row r="230" spans="1:33" ht="15" x14ac:dyDescent="0.25">
      <c r="A230" s="129" t="s">
        <v>317</v>
      </c>
      <c r="B230" s="212">
        <v>192.03870000000001</v>
      </c>
      <c r="C230" s="205">
        <v>91.348100000000002</v>
      </c>
      <c r="D230" s="212"/>
      <c r="E230" s="205">
        <v>137.0222</v>
      </c>
      <c r="F230" s="205">
        <v>902.01499999999999</v>
      </c>
      <c r="G230" s="245">
        <f t="shared" si="46"/>
        <v>60.99288814487565</v>
      </c>
      <c r="H230" s="212">
        <v>0</v>
      </c>
      <c r="I230" s="212" t="str">
        <f>""</f>
        <v/>
      </c>
      <c r="J230" s="212"/>
      <c r="K230" s="212">
        <v>91.348100000000002</v>
      </c>
      <c r="L230" s="129">
        <v>8000</v>
      </c>
      <c r="M230" s="129">
        <v>15</v>
      </c>
      <c r="N230" s="203">
        <f t="shared" si="53"/>
        <v>192.03870000000001</v>
      </c>
      <c r="O230" s="203">
        <f t="shared" si="54"/>
        <v>192.03870000000001</v>
      </c>
      <c r="P230" s="203">
        <f t="shared" si="55"/>
        <v>192.03870000000001</v>
      </c>
      <c r="Q230" s="203">
        <f t="shared" si="52"/>
        <v>192.03870000000001</v>
      </c>
      <c r="R230" s="129" t="s">
        <v>298</v>
      </c>
      <c r="S230" s="129" t="str">
        <f>""</f>
        <v/>
      </c>
      <c r="T230" s="129" t="s">
        <v>299</v>
      </c>
      <c r="U230" s="129" t="s">
        <v>300</v>
      </c>
      <c r="V230" s="129" t="s">
        <v>301</v>
      </c>
      <c r="W230" s="129" t="s">
        <v>302</v>
      </c>
      <c r="X230" s="129" t="s">
        <v>303</v>
      </c>
      <c r="Y230" s="129" t="s">
        <v>695</v>
      </c>
      <c r="Z230" s="129" t="s">
        <v>304</v>
      </c>
      <c r="AA230" s="129" t="str">
        <f>""</f>
        <v/>
      </c>
      <c r="AB230" s="129">
        <v>15</v>
      </c>
      <c r="AC230" s="212">
        <v>0</v>
      </c>
      <c r="AD230" s="212" t="str">
        <f t="shared" si="47"/>
        <v/>
      </c>
      <c r="AE230" s="537"/>
      <c r="AF230" s="235">
        <v>31</v>
      </c>
      <c r="AG230" s="129"/>
    </row>
    <row r="231" spans="1:33" ht="15" x14ac:dyDescent="0.25">
      <c r="A231" s="129" t="s">
        <v>522</v>
      </c>
      <c r="B231" s="212">
        <v>214.95689999999999</v>
      </c>
      <c r="C231" s="205">
        <v>91.348100000000002</v>
      </c>
      <c r="D231" s="212"/>
      <c r="E231" s="205">
        <v>137.0222</v>
      </c>
      <c r="F231" s="205">
        <v>902.01499999999999</v>
      </c>
      <c r="G231" s="245">
        <f t="shared" si="46"/>
        <v>86.400669611924414</v>
      </c>
      <c r="H231" s="212">
        <v>0</v>
      </c>
      <c r="I231" s="212" t="str">
        <f>""</f>
        <v/>
      </c>
      <c r="J231" s="212"/>
      <c r="K231" s="212">
        <v>91.348100000000002</v>
      </c>
      <c r="L231" s="129">
        <v>8000</v>
      </c>
      <c r="M231" s="129">
        <v>15</v>
      </c>
      <c r="N231" s="203">
        <f t="shared" si="53"/>
        <v>204.67332499999998</v>
      </c>
      <c r="O231" s="203">
        <f t="shared" si="54"/>
        <v>214.95689999999999</v>
      </c>
      <c r="P231" s="203">
        <f t="shared" si="55"/>
        <v>214.95689999999999</v>
      </c>
      <c r="Q231" s="203">
        <f t="shared" si="52"/>
        <v>214.95689999999999</v>
      </c>
      <c r="R231" s="129" t="s">
        <v>298</v>
      </c>
      <c r="S231" s="129" t="str">
        <f>""</f>
        <v/>
      </c>
      <c r="T231" s="129" t="s">
        <v>299</v>
      </c>
      <c r="U231" s="129" t="s">
        <v>300</v>
      </c>
      <c r="V231" s="129" t="s">
        <v>301</v>
      </c>
      <c r="W231" s="129" t="s">
        <v>302</v>
      </c>
      <c r="X231" s="129" t="s">
        <v>303</v>
      </c>
      <c r="Y231" s="129" t="s">
        <v>695</v>
      </c>
      <c r="Z231" s="129" t="s">
        <v>304</v>
      </c>
      <c r="AA231" s="129" t="str">
        <f>""</f>
        <v/>
      </c>
      <c r="AB231" s="129">
        <v>15</v>
      </c>
      <c r="AC231" s="212">
        <v>0</v>
      </c>
      <c r="AD231" s="212" t="str">
        <f t="shared" si="47"/>
        <v/>
      </c>
      <c r="AE231" s="537"/>
      <c r="AF231" s="235">
        <v>31</v>
      </c>
      <c r="AG231" s="129"/>
    </row>
    <row r="232" spans="1:33" ht="15" x14ac:dyDescent="0.25">
      <c r="A232" s="129" t="s">
        <v>318</v>
      </c>
      <c r="B232" s="212">
        <v>258.15350000000001</v>
      </c>
      <c r="C232" s="205">
        <v>91.348100000000002</v>
      </c>
      <c r="D232" s="212"/>
      <c r="E232" s="205">
        <v>137.0222</v>
      </c>
      <c r="F232" s="205">
        <v>889.01499999999999</v>
      </c>
      <c r="G232" s="245">
        <f t="shared" si="46"/>
        <v>136.2533815514924</v>
      </c>
      <c r="H232" s="212">
        <v>0</v>
      </c>
      <c r="I232" s="212" t="str">
        <f>""</f>
        <v/>
      </c>
      <c r="J232" s="212"/>
      <c r="K232" s="212">
        <v>91.348100000000002</v>
      </c>
      <c r="L232" s="129">
        <v>8000</v>
      </c>
      <c r="M232" s="129">
        <v>15</v>
      </c>
      <c r="N232" s="203">
        <f t="shared" si="53"/>
        <v>203.69832500000001</v>
      </c>
      <c r="O232" s="203">
        <f t="shared" si="54"/>
        <v>258.15350000000001</v>
      </c>
      <c r="P232" s="203">
        <f t="shared" si="55"/>
        <v>258.15350000000001</v>
      </c>
      <c r="Q232" s="203">
        <f t="shared" si="52"/>
        <v>258.15350000000001</v>
      </c>
      <c r="R232" s="129" t="s">
        <v>298</v>
      </c>
      <c r="S232" s="129" t="str">
        <f>""</f>
        <v/>
      </c>
      <c r="T232" s="129" t="s">
        <v>299</v>
      </c>
      <c r="U232" s="129" t="s">
        <v>300</v>
      </c>
      <c r="V232" s="129" t="s">
        <v>301</v>
      </c>
      <c r="W232" s="129" t="s">
        <v>307</v>
      </c>
      <c r="X232" s="129" t="s">
        <v>303</v>
      </c>
      <c r="Y232" s="129" t="s">
        <v>695</v>
      </c>
      <c r="Z232" s="129" t="s">
        <v>304</v>
      </c>
      <c r="AA232" s="129" t="str">
        <f>""</f>
        <v/>
      </c>
      <c r="AB232" s="129">
        <v>15</v>
      </c>
      <c r="AC232" s="212">
        <v>0</v>
      </c>
      <c r="AD232" s="212" t="str">
        <f t="shared" si="47"/>
        <v/>
      </c>
      <c r="AE232" s="537"/>
      <c r="AF232" s="235">
        <v>31</v>
      </c>
      <c r="AG232" s="129"/>
    </row>
    <row r="233" spans="1:33" ht="15" x14ac:dyDescent="0.25">
      <c r="A233" s="129" t="s">
        <v>319</v>
      </c>
      <c r="B233" s="212">
        <v>259.62450000000001</v>
      </c>
      <c r="C233" s="205">
        <v>91.348100000000002</v>
      </c>
      <c r="D233" s="212"/>
      <c r="E233" s="205">
        <v>137.0222</v>
      </c>
      <c r="F233" s="205">
        <v>821.69</v>
      </c>
      <c r="G233" s="245">
        <f t="shared" si="46"/>
        <v>149.20748700848253</v>
      </c>
      <c r="H233" s="212">
        <v>0</v>
      </c>
      <c r="I233" s="212" t="str">
        <f>""</f>
        <v/>
      </c>
      <c r="J233" s="212"/>
      <c r="K233" s="212">
        <v>91.348100000000002</v>
      </c>
      <c r="L233" s="129">
        <v>8000</v>
      </c>
      <c r="M233" s="129">
        <v>15</v>
      </c>
      <c r="N233" s="203">
        <f t="shared" si="53"/>
        <v>198.64895000000001</v>
      </c>
      <c r="O233" s="203">
        <f t="shared" si="54"/>
        <v>259.62450000000001</v>
      </c>
      <c r="P233" s="203">
        <f t="shared" si="55"/>
        <v>259.62450000000001</v>
      </c>
      <c r="Q233" s="203">
        <f t="shared" si="52"/>
        <v>259.62450000000001</v>
      </c>
      <c r="R233" s="129" t="s">
        <v>298</v>
      </c>
      <c r="S233" s="129" t="str">
        <f>""</f>
        <v/>
      </c>
      <c r="T233" s="129" t="s">
        <v>299</v>
      </c>
      <c r="U233" s="129" t="s">
        <v>300</v>
      </c>
      <c r="V233" s="129" t="s">
        <v>301</v>
      </c>
      <c r="W233" s="129" t="s">
        <v>302</v>
      </c>
      <c r="X233" s="129" t="s">
        <v>303</v>
      </c>
      <c r="Y233" s="129" t="s">
        <v>695</v>
      </c>
      <c r="Z233" s="129" t="s">
        <v>304</v>
      </c>
      <c r="AA233" s="129" t="str">
        <f>""</f>
        <v/>
      </c>
      <c r="AB233" s="129">
        <v>15</v>
      </c>
      <c r="AC233" s="212">
        <v>0</v>
      </c>
      <c r="AD233" s="212" t="str">
        <f t="shared" si="47"/>
        <v/>
      </c>
      <c r="AE233" s="537"/>
      <c r="AF233" s="235">
        <v>31</v>
      </c>
      <c r="AG233" s="129"/>
    </row>
    <row r="234" spans="1:33" ht="15" x14ac:dyDescent="0.25">
      <c r="A234" s="129" t="s">
        <v>728</v>
      </c>
      <c r="B234" s="212">
        <v>222.34200000000001</v>
      </c>
      <c r="C234" s="205">
        <v>0</v>
      </c>
      <c r="D234" s="212"/>
      <c r="E234" s="205">
        <v>49.328000000000003</v>
      </c>
      <c r="F234" s="205">
        <v>741.14</v>
      </c>
      <c r="G234" s="245">
        <f t="shared" si="46"/>
        <v>233.44307418301537</v>
      </c>
      <c r="H234" s="212">
        <v>0</v>
      </c>
      <c r="I234" s="212"/>
      <c r="J234" s="212"/>
      <c r="K234" s="212">
        <v>91.348100000000002</v>
      </c>
      <c r="L234" s="129">
        <v>8000</v>
      </c>
      <c r="M234" s="129">
        <v>15</v>
      </c>
      <c r="N234" s="203">
        <f t="shared" si="53"/>
        <v>104.9135</v>
      </c>
      <c r="O234" s="203">
        <f t="shared" si="54"/>
        <v>160.49900000000002</v>
      </c>
      <c r="P234" s="203">
        <f t="shared" si="55"/>
        <v>216.08449999999999</v>
      </c>
      <c r="Q234" s="203">
        <f t="shared" si="52"/>
        <v>222.34200000000001</v>
      </c>
      <c r="R234" s="129" t="s">
        <v>298</v>
      </c>
      <c r="S234" s="129"/>
      <c r="T234" s="129" t="s">
        <v>299</v>
      </c>
      <c r="U234" s="129" t="s">
        <v>300</v>
      </c>
      <c r="V234" s="129" t="s">
        <v>301</v>
      </c>
      <c r="W234" s="129" t="s">
        <v>302</v>
      </c>
      <c r="X234" s="129" t="s">
        <v>303</v>
      </c>
      <c r="Y234" s="129" t="s">
        <v>695</v>
      </c>
      <c r="Z234" s="129" t="s">
        <v>304</v>
      </c>
      <c r="AA234" s="129"/>
      <c r="AB234" s="129">
        <v>15</v>
      </c>
      <c r="AC234" s="212">
        <v>0</v>
      </c>
      <c r="AD234" s="212" t="str">
        <f t="shared" si="47"/>
        <v/>
      </c>
      <c r="AE234" s="537"/>
      <c r="AF234" s="235">
        <v>31</v>
      </c>
      <c r="AG234" s="129"/>
    </row>
    <row r="235" spans="1:33" ht="15" x14ac:dyDescent="0.25">
      <c r="A235" s="129" t="s">
        <v>524</v>
      </c>
      <c r="B235" s="212">
        <v>195.70779999999999</v>
      </c>
      <c r="C235" s="205">
        <v>91.348100000000002</v>
      </c>
      <c r="D235" s="212"/>
      <c r="E235" s="205">
        <v>137.0222</v>
      </c>
      <c r="F235" s="205">
        <v>908.09</v>
      </c>
      <c r="G235" s="245">
        <f t="shared" si="46"/>
        <v>64.625312469028387</v>
      </c>
      <c r="H235" s="212">
        <v>0</v>
      </c>
      <c r="I235" s="212" t="str">
        <f>""</f>
        <v/>
      </c>
      <c r="J235" s="212"/>
      <c r="K235" s="212">
        <v>91.348100000000002</v>
      </c>
      <c r="L235" s="129">
        <v>8000</v>
      </c>
      <c r="M235" s="129">
        <v>15</v>
      </c>
      <c r="N235" s="203">
        <f t="shared" si="53"/>
        <v>195.70779999999999</v>
      </c>
      <c r="O235" s="203">
        <f t="shared" si="54"/>
        <v>195.70779999999999</v>
      </c>
      <c r="P235" s="203">
        <f t="shared" si="55"/>
        <v>195.70779999999999</v>
      </c>
      <c r="Q235" s="203">
        <f t="shared" si="52"/>
        <v>195.70779999999999</v>
      </c>
      <c r="R235" s="129" t="s">
        <v>298</v>
      </c>
      <c r="S235" s="129" t="str">
        <f>""</f>
        <v/>
      </c>
      <c r="T235" s="129" t="s">
        <v>299</v>
      </c>
      <c r="U235" s="129" t="s">
        <v>300</v>
      </c>
      <c r="V235" s="129" t="s">
        <v>301</v>
      </c>
      <c r="W235" s="129" t="s">
        <v>302</v>
      </c>
      <c r="X235" s="129" t="s">
        <v>303</v>
      </c>
      <c r="Y235" s="129" t="s">
        <v>695</v>
      </c>
      <c r="Z235" s="129" t="s">
        <v>304</v>
      </c>
      <c r="AA235" s="129" t="str">
        <f>""</f>
        <v/>
      </c>
      <c r="AB235" s="129">
        <v>15</v>
      </c>
      <c r="AC235" s="212">
        <v>0</v>
      </c>
      <c r="AD235" s="212" t="str">
        <f t="shared" si="47"/>
        <v/>
      </c>
      <c r="AE235" s="537"/>
      <c r="AF235" s="235">
        <v>31</v>
      </c>
      <c r="AG235" s="129"/>
    </row>
    <row r="236" spans="1:33" ht="15" x14ac:dyDescent="0.25">
      <c r="A236" s="129" t="s">
        <v>320</v>
      </c>
      <c r="B236" s="212">
        <v>238.35599999999999</v>
      </c>
      <c r="C236" s="205">
        <v>91.348100000000002</v>
      </c>
      <c r="D236" s="212"/>
      <c r="E236" s="205">
        <v>137.0222</v>
      </c>
      <c r="F236" s="205">
        <v>837.44</v>
      </c>
      <c r="G236" s="245">
        <f t="shared" si="46"/>
        <v>121.00425105082155</v>
      </c>
      <c r="H236" s="212">
        <v>0</v>
      </c>
      <c r="I236" s="212" t="str">
        <f>""</f>
        <v/>
      </c>
      <c r="J236" s="212"/>
      <c r="K236" s="212">
        <v>91.348100000000002</v>
      </c>
      <c r="L236" s="129">
        <v>8000</v>
      </c>
      <c r="M236" s="129">
        <v>15</v>
      </c>
      <c r="N236" s="203">
        <f t="shared" si="53"/>
        <v>199.83019999999999</v>
      </c>
      <c r="O236" s="203">
        <f t="shared" si="54"/>
        <v>238.35599999999999</v>
      </c>
      <c r="P236" s="203">
        <f t="shared" si="55"/>
        <v>238.35599999999999</v>
      </c>
      <c r="Q236" s="203">
        <f t="shared" si="52"/>
        <v>238.35599999999999</v>
      </c>
      <c r="R236" s="129" t="s">
        <v>298</v>
      </c>
      <c r="S236" s="129" t="str">
        <f>""</f>
        <v/>
      </c>
      <c r="T236" s="129" t="s">
        <v>299</v>
      </c>
      <c r="U236" s="129" t="s">
        <v>300</v>
      </c>
      <c r="V236" s="129" t="s">
        <v>301</v>
      </c>
      <c r="W236" s="129" t="s">
        <v>302</v>
      </c>
      <c r="X236" s="129" t="s">
        <v>303</v>
      </c>
      <c r="Y236" s="129" t="s">
        <v>695</v>
      </c>
      <c r="Z236" s="129" t="s">
        <v>304</v>
      </c>
      <c r="AA236" s="129" t="str">
        <f>""</f>
        <v/>
      </c>
      <c r="AB236" s="129">
        <v>15</v>
      </c>
      <c r="AC236" s="212">
        <v>0</v>
      </c>
      <c r="AD236" s="212" t="str">
        <f t="shared" si="47"/>
        <v/>
      </c>
      <c r="AE236" s="538"/>
      <c r="AF236" s="235">
        <v>31</v>
      </c>
      <c r="AG236" s="129"/>
    </row>
    <row r="237" spans="1:33" ht="15" x14ac:dyDescent="0.25">
      <c r="A237" s="129"/>
      <c r="B237" s="212"/>
      <c r="C237" s="205"/>
      <c r="D237" s="212"/>
      <c r="E237" s="205"/>
      <c r="F237" s="205"/>
      <c r="G237" s="245"/>
      <c r="H237" s="212"/>
      <c r="I237" s="212"/>
      <c r="J237" s="212"/>
      <c r="K237" s="212"/>
      <c r="L237" s="129"/>
      <c r="M237" s="129"/>
      <c r="N237" s="203"/>
      <c r="O237" s="203"/>
      <c r="P237" s="203"/>
      <c r="Q237" s="203"/>
      <c r="R237" s="129"/>
      <c r="S237" s="129"/>
      <c r="T237" s="129"/>
      <c r="U237" s="129"/>
      <c r="V237" s="129"/>
      <c r="W237" s="129"/>
      <c r="X237" s="129"/>
      <c r="Y237" s="129"/>
      <c r="Z237" s="129"/>
      <c r="AA237" s="129"/>
      <c r="AB237" s="129"/>
      <c r="AC237" s="212"/>
      <c r="AD237" s="212"/>
      <c r="AE237" s="212"/>
      <c r="AF237" s="236"/>
      <c r="AG237" s="129"/>
    </row>
    <row r="238" spans="1:33" ht="15" x14ac:dyDescent="0.25">
      <c r="A238" s="206" t="s">
        <v>321</v>
      </c>
      <c r="B238" s="212"/>
      <c r="C238" s="205"/>
      <c r="D238" s="212"/>
      <c r="E238" s="205"/>
      <c r="F238" s="205"/>
      <c r="G238" s="245"/>
      <c r="H238" s="212"/>
      <c r="I238" s="212"/>
      <c r="J238" s="212"/>
      <c r="K238" s="212"/>
      <c r="L238" s="129"/>
      <c r="M238" s="129"/>
      <c r="N238" s="203"/>
      <c r="O238" s="203"/>
      <c r="P238" s="203"/>
      <c r="Q238" s="203"/>
      <c r="R238" s="129"/>
      <c r="S238" s="129"/>
      <c r="T238" s="129"/>
      <c r="U238" s="129"/>
      <c r="V238" s="129"/>
      <c r="W238" s="129"/>
      <c r="X238" s="129"/>
      <c r="Y238" s="129"/>
      <c r="Z238" s="129"/>
      <c r="AA238" s="129"/>
      <c r="AB238" s="129"/>
      <c r="AC238" s="212"/>
      <c r="AD238" s="212"/>
      <c r="AE238" s="212"/>
      <c r="AF238" s="236"/>
      <c r="AG238" s="129"/>
    </row>
    <row r="239" spans="1:33" ht="15" x14ac:dyDescent="0.25">
      <c r="A239" s="129" t="s">
        <v>950</v>
      </c>
      <c r="B239" s="212">
        <v>270.60449999999997</v>
      </c>
      <c r="C239" s="205">
        <v>0</v>
      </c>
      <c r="D239" s="212"/>
      <c r="E239" s="205">
        <v>0</v>
      </c>
      <c r="F239" s="205">
        <v>902.01499999999999</v>
      </c>
      <c r="G239" s="245">
        <f t="shared" si="46"/>
        <v>300</v>
      </c>
      <c r="H239" s="212">
        <v>0</v>
      </c>
      <c r="I239" s="212" t="str">
        <f>""</f>
        <v/>
      </c>
      <c r="J239" s="212"/>
      <c r="K239" s="212">
        <v>0</v>
      </c>
      <c r="L239" s="129">
        <v>4000</v>
      </c>
      <c r="M239" s="129">
        <v>15</v>
      </c>
      <c r="N239" s="203">
        <f>MIN($B239,(75*$F239/1000)+$E239)</f>
        <v>67.651124999999993</v>
      </c>
      <c r="O239" s="203">
        <f>MIN($B239,(150*$F239/1000)+$E239)</f>
        <v>135.30224999999999</v>
      </c>
      <c r="P239" s="203">
        <f>MIN($B239,(225*$F239/1000)+$E239)</f>
        <v>202.95337499999999</v>
      </c>
      <c r="Q239" s="203">
        <f t="shared" si="52"/>
        <v>270.60449999999997</v>
      </c>
      <c r="R239" s="129" t="s">
        <v>298</v>
      </c>
      <c r="S239" s="129" t="str">
        <f>""</f>
        <v/>
      </c>
      <c r="T239" s="129" t="s">
        <v>299</v>
      </c>
      <c r="U239" s="129" t="s">
        <v>300</v>
      </c>
      <c r="V239" s="129" t="s">
        <v>301</v>
      </c>
      <c r="W239" s="129" t="s">
        <v>302</v>
      </c>
      <c r="X239" s="129" t="s">
        <v>303</v>
      </c>
      <c r="Y239" s="129" t="s">
        <v>695</v>
      </c>
      <c r="Z239" s="129" t="s">
        <v>304</v>
      </c>
      <c r="AA239" s="129" t="str">
        <f>""</f>
        <v/>
      </c>
      <c r="AB239" s="129">
        <v>15</v>
      </c>
      <c r="AC239" s="212">
        <v>0</v>
      </c>
      <c r="AD239" s="212" t="str">
        <f t="shared" si="47"/>
        <v/>
      </c>
      <c r="AE239" s="212" t="s">
        <v>627</v>
      </c>
      <c r="AF239" s="235">
        <v>43</v>
      </c>
      <c r="AG239" s="129"/>
    </row>
    <row r="240" spans="1:33" ht="15" x14ac:dyDescent="0.25">
      <c r="A240" s="129" t="s">
        <v>951</v>
      </c>
      <c r="B240" s="212">
        <v>270.60449999999997</v>
      </c>
      <c r="C240" s="205">
        <v>0</v>
      </c>
      <c r="D240" s="212"/>
      <c r="E240" s="205">
        <v>0</v>
      </c>
      <c r="F240" s="205">
        <v>902.01499999999999</v>
      </c>
      <c r="G240" s="245">
        <f t="shared" si="46"/>
        <v>300</v>
      </c>
      <c r="H240" s="212">
        <v>0</v>
      </c>
      <c r="I240" s="212" t="str">
        <f>""</f>
        <v/>
      </c>
      <c r="J240" s="212"/>
      <c r="K240" s="212">
        <v>0</v>
      </c>
      <c r="L240" s="129">
        <v>4000</v>
      </c>
      <c r="M240" s="129">
        <v>15</v>
      </c>
      <c r="N240" s="203">
        <f t="shared" ref="N240:N247" si="56">MIN($B240,(75*$F240/1000)+$E240)</f>
        <v>67.651124999999993</v>
      </c>
      <c r="O240" s="203">
        <f t="shared" ref="O240:O247" si="57">MIN($B240,(150*$F240/1000)+$E240)</f>
        <v>135.30224999999999</v>
      </c>
      <c r="P240" s="203">
        <f t="shared" ref="P240:P247" si="58">MIN($B240,(225*$F240/1000)+$E240)</f>
        <v>202.95337499999999</v>
      </c>
      <c r="Q240" s="203">
        <f t="shared" si="52"/>
        <v>270.60449999999997</v>
      </c>
      <c r="R240" s="129" t="s">
        <v>298</v>
      </c>
      <c r="S240" s="129" t="str">
        <f>""</f>
        <v/>
      </c>
      <c r="T240" s="129" t="s">
        <v>299</v>
      </c>
      <c r="U240" s="129" t="s">
        <v>300</v>
      </c>
      <c r="V240" s="129" t="s">
        <v>301</v>
      </c>
      <c r="W240" s="129" t="s">
        <v>302</v>
      </c>
      <c r="X240" s="129" t="s">
        <v>303</v>
      </c>
      <c r="Y240" s="129" t="s">
        <v>695</v>
      </c>
      <c r="Z240" s="129" t="s">
        <v>304</v>
      </c>
      <c r="AA240" s="129" t="str">
        <f>""</f>
        <v/>
      </c>
      <c r="AB240" s="129">
        <v>15</v>
      </c>
      <c r="AC240" s="212">
        <v>0</v>
      </c>
      <c r="AD240" s="212" t="str">
        <f t="shared" si="47"/>
        <v/>
      </c>
      <c r="AE240" s="212" t="s">
        <v>627</v>
      </c>
      <c r="AF240" s="235">
        <v>43</v>
      </c>
      <c r="AG240" s="129"/>
    </row>
    <row r="241" spans="1:33" ht="15" x14ac:dyDescent="0.25">
      <c r="A241" s="129" t="s">
        <v>322</v>
      </c>
      <c r="B241" s="212">
        <v>192.03870000000001</v>
      </c>
      <c r="C241" s="205">
        <v>0</v>
      </c>
      <c r="D241" s="212"/>
      <c r="E241" s="205">
        <v>0</v>
      </c>
      <c r="F241" s="205">
        <v>902.01499999999999</v>
      </c>
      <c r="G241" s="245">
        <f t="shared" si="46"/>
        <v>212.89967461738442</v>
      </c>
      <c r="H241" s="212">
        <v>0</v>
      </c>
      <c r="I241" s="212" t="str">
        <f>""</f>
        <v/>
      </c>
      <c r="J241" s="212"/>
      <c r="K241" s="212">
        <v>0</v>
      </c>
      <c r="L241" s="129">
        <v>8000</v>
      </c>
      <c r="M241" s="129">
        <v>15</v>
      </c>
      <c r="N241" s="203">
        <f t="shared" si="56"/>
        <v>67.651124999999993</v>
      </c>
      <c r="O241" s="203">
        <f t="shared" si="57"/>
        <v>135.30224999999999</v>
      </c>
      <c r="P241" s="203">
        <f t="shared" si="58"/>
        <v>192.03870000000001</v>
      </c>
      <c r="Q241" s="203">
        <f t="shared" si="52"/>
        <v>192.03870000000001</v>
      </c>
      <c r="R241" s="129" t="s">
        <v>298</v>
      </c>
      <c r="S241" s="129" t="str">
        <f>""</f>
        <v/>
      </c>
      <c r="T241" s="129" t="s">
        <v>299</v>
      </c>
      <c r="U241" s="129" t="s">
        <v>300</v>
      </c>
      <c r="V241" s="129" t="s">
        <v>301</v>
      </c>
      <c r="W241" s="129" t="s">
        <v>302</v>
      </c>
      <c r="X241" s="129" t="s">
        <v>303</v>
      </c>
      <c r="Y241" s="129" t="s">
        <v>695</v>
      </c>
      <c r="Z241" s="129" t="s">
        <v>304</v>
      </c>
      <c r="AA241" s="129" t="str">
        <f>""</f>
        <v/>
      </c>
      <c r="AB241" s="129">
        <v>15</v>
      </c>
      <c r="AC241" s="212">
        <v>0</v>
      </c>
      <c r="AD241" s="212" t="str">
        <f t="shared" si="47"/>
        <v/>
      </c>
      <c r="AE241" s="212" t="s">
        <v>627</v>
      </c>
      <c r="AF241" s="235">
        <v>43</v>
      </c>
      <c r="AG241" s="129"/>
    </row>
    <row r="242" spans="1:33" ht="15" x14ac:dyDescent="0.25">
      <c r="A242" s="129" t="s">
        <v>525</v>
      </c>
      <c r="B242" s="212">
        <v>214.95689999999999</v>
      </c>
      <c r="C242" s="205">
        <v>0</v>
      </c>
      <c r="D242" s="212"/>
      <c r="E242" s="205">
        <v>0</v>
      </c>
      <c r="F242" s="205">
        <v>902.01499999999999</v>
      </c>
      <c r="G242" s="245">
        <f t="shared" si="46"/>
        <v>238.30745608443317</v>
      </c>
      <c r="H242" s="212">
        <v>0</v>
      </c>
      <c r="I242" s="212" t="str">
        <f>""</f>
        <v/>
      </c>
      <c r="J242" s="212"/>
      <c r="K242" s="212">
        <v>0</v>
      </c>
      <c r="L242" s="129">
        <v>8000</v>
      </c>
      <c r="M242" s="129">
        <v>15</v>
      </c>
      <c r="N242" s="203">
        <f t="shared" si="56"/>
        <v>67.651124999999993</v>
      </c>
      <c r="O242" s="203">
        <f t="shared" si="57"/>
        <v>135.30224999999999</v>
      </c>
      <c r="P242" s="203">
        <f t="shared" si="58"/>
        <v>202.95337499999999</v>
      </c>
      <c r="Q242" s="203">
        <f t="shared" si="52"/>
        <v>214.95689999999999</v>
      </c>
      <c r="R242" s="129" t="s">
        <v>298</v>
      </c>
      <c r="S242" s="129" t="str">
        <f>""</f>
        <v/>
      </c>
      <c r="T242" s="129" t="s">
        <v>299</v>
      </c>
      <c r="U242" s="129" t="s">
        <v>300</v>
      </c>
      <c r="V242" s="129" t="s">
        <v>301</v>
      </c>
      <c r="W242" s="129" t="s">
        <v>302</v>
      </c>
      <c r="X242" s="129" t="s">
        <v>303</v>
      </c>
      <c r="Y242" s="129" t="s">
        <v>695</v>
      </c>
      <c r="Z242" s="129" t="s">
        <v>304</v>
      </c>
      <c r="AA242" s="129" t="str">
        <f>""</f>
        <v/>
      </c>
      <c r="AB242" s="129">
        <v>15</v>
      </c>
      <c r="AC242" s="212">
        <v>0</v>
      </c>
      <c r="AD242" s="212" t="str">
        <f t="shared" si="47"/>
        <v/>
      </c>
      <c r="AE242" s="212" t="s">
        <v>627</v>
      </c>
      <c r="AF242" s="235">
        <v>43</v>
      </c>
      <c r="AG242" s="129"/>
    </row>
    <row r="243" spans="1:33" ht="15" x14ac:dyDescent="0.25">
      <c r="A243" s="129" t="s">
        <v>323</v>
      </c>
      <c r="B243" s="212">
        <v>258.15350000000001</v>
      </c>
      <c r="C243" s="205">
        <v>0</v>
      </c>
      <c r="D243" s="212"/>
      <c r="E243" s="205">
        <v>0</v>
      </c>
      <c r="F243" s="205">
        <v>889.01499999999999</v>
      </c>
      <c r="G243" s="245">
        <f t="shared" si="46"/>
        <v>290.38148962615929</v>
      </c>
      <c r="H243" s="212">
        <v>0</v>
      </c>
      <c r="I243" s="212" t="str">
        <f>""</f>
        <v/>
      </c>
      <c r="J243" s="212"/>
      <c r="K243" s="212">
        <v>0</v>
      </c>
      <c r="L243" s="129">
        <v>8000</v>
      </c>
      <c r="M243" s="129">
        <v>15</v>
      </c>
      <c r="N243" s="203">
        <f t="shared" si="56"/>
        <v>66.676124999999999</v>
      </c>
      <c r="O243" s="203">
        <f t="shared" si="57"/>
        <v>133.35225</v>
      </c>
      <c r="P243" s="203">
        <f t="shared" si="58"/>
        <v>200.02837500000001</v>
      </c>
      <c r="Q243" s="203">
        <f t="shared" si="52"/>
        <v>258.15350000000001</v>
      </c>
      <c r="R243" s="129" t="s">
        <v>298</v>
      </c>
      <c r="S243" s="129" t="str">
        <f>""</f>
        <v/>
      </c>
      <c r="T243" s="129" t="s">
        <v>299</v>
      </c>
      <c r="U243" s="129" t="s">
        <v>300</v>
      </c>
      <c r="V243" s="129" t="s">
        <v>301</v>
      </c>
      <c r="W243" s="129" t="s">
        <v>307</v>
      </c>
      <c r="X243" s="129" t="s">
        <v>303</v>
      </c>
      <c r="Y243" s="129" t="s">
        <v>695</v>
      </c>
      <c r="Z243" s="129" t="s">
        <v>304</v>
      </c>
      <c r="AA243" s="129" t="str">
        <f>""</f>
        <v/>
      </c>
      <c r="AB243" s="129">
        <v>15</v>
      </c>
      <c r="AC243" s="212">
        <v>0</v>
      </c>
      <c r="AD243" s="212" t="str">
        <f t="shared" si="47"/>
        <v/>
      </c>
      <c r="AE243" s="212" t="s">
        <v>627</v>
      </c>
      <c r="AF243" s="235">
        <v>43</v>
      </c>
      <c r="AG243" s="129"/>
    </row>
    <row r="244" spans="1:33" ht="15" x14ac:dyDescent="0.25">
      <c r="A244" s="129" t="s">
        <v>324</v>
      </c>
      <c r="B244" s="212">
        <v>246.50700000000001</v>
      </c>
      <c r="C244" s="205">
        <v>0</v>
      </c>
      <c r="D244" s="212"/>
      <c r="E244" s="205">
        <v>0</v>
      </c>
      <c r="F244" s="205">
        <v>821.69</v>
      </c>
      <c r="G244" s="245">
        <f t="shared" si="46"/>
        <v>300</v>
      </c>
      <c r="H244" s="212">
        <v>0</v>
      </c>
      <c r="I244" s="212" t="str">
        <f>""</f>
        <v/>
      </c>
      <c r="J244" s="212"/>
      <c r="K244" s="212">
        <v>0</v>
      </c>
      <c r="L244" s="129">
        <v>8000</v>
      </c>
      <c r="M244" s="129">
        <v>15</v>
      </c>
      <c r="N244" s="203">
        <f t="shared" si="56"/>
        <v>61.626750000000008</v>
      </c>
      <c r="O244" s="203">
        <f t="shared" si="57"/>
        <v>123.25350000000002</v>
      </c>
      <c r="P244" s="203">
        <f t="shared" si="58"/>
        <v>184.88024999999999</v>
      </c>
      <c r="Q244" s="203">
        <f t="shared" si="52"/>
        <v>246.50700000000001</v>
      </c>
      <c r="R244" s="129" t="s">
        <v>298</v>
      </c>
      <c r="S244" s="129" t="str">
        <f>""</f>
        <v/>
      </c>
      <c r="T244" s="129" t="s">
        <v>299</v>
      </c>
      <c r="U244" s="129" t="s">
        <v>300</v>
      </c>
      <c r="V244" s="129" t="s">
        <v>301</v>
      </c>
      <c r="W244" s="129" t="s">
        <v>302</v>
      </c>
      <c r="X244" s="129" t="s">
        <v>303</v>
      </c>
      <c r="Y244" s="129" t="s">
        <v>695</v>
      </c>
      <c r="Z244" s="129" t="s">
        <v>304</v>
      </c>
      <c r="AA244" s="129" t="str">
        <f>""</f>
        <v/>
      </c>
      <c r="AB244" s="129">
        <v>15</v>
      </c>
      <c r="AC244" s="212">
        <v>0</v>
      </c>
      <c r="AD244" s="212" t="str">
        <f t="shared" si="47"/>
        <v/>
      </c>
      <c r="AE244" s="212" t="s">
        <v>627</v>
      </c>
      <c r="AF244" s="235">
        <v>43</v>
      </c>
      <c r="AG244" s="129"/>
    </row>
    <row r="245" spans="1:33" ht="15" x14ac:dyDescent="0.25">
      <c r="A245" s="129" t="s">
        <v>526</v>
      </c>
      <c r="B245" s="212">
        <v>195.70779999999999</v>
      </c>
      <c r="C245" s="205">
        <v>0</v>
      </c>
      <c r="D245" s="212"/>
      <c r="E245" s="205">
        <v>0</v>
      </c>
      <c r="F245" s="205">
        <v>908.09</v>
      </c>
      <c r="G245" s="245">
        <f t="shared" si="46"/>
        <v>215.51586296512457</v>
      </c>
      <c r="H245" s="212">
        <v>0</v>
      </c>
      <c r="I245" s="212" t="str">
        <f>""</f>
        <v/>
      </c>
      <c r="J245" s="212"/>
      <c r="K245" s="212">
        <v>0</v>
      </c>
      <c r="L245" s="129">
        <v>8000</v>
      </c>
      <c r="M245" s="129">
        <v>15</v>
      </c>
      <c r="N245" s="203">
        <f t="shared" si="56"/>
        <v>68.106750000000005</v>
      </c>
      <c r="O245" s="203">
        <f t="shared" si="57"/>
        <v>136.21350000000001</v>
      </c>
      <c r="P245" s="203">
        <f t="shared" si="58"/>
        <v>195.70779999999999</v>
      </c>
      <c r="Q245" s="203">
        <f t="shared" si="52"/>
        <v>195.70779999999999</v>
      </c>
      <c r="R245" s="129" t="s">
        <v>298</v>
      </c>
      <c r="S245" s="129" t="str">
        <f>""</f>
        <v/>
      </c>
      <c r="T245" s="129" t="s">
        <v>299</v>
      </c>
      <c r="U245" s="129" t="s">
        <v>300</v>
      </c>
      <c r="V245" s="129" t="s">
        <v>301</v>
      </c>
      <c r="W245" s="129" t="s">
        <v>302</v>
      </c>
      <c r="X245" s="129" t="s">
        <v>303</v>
      </c>
      <c r="Y245" s="129" t="s">
        <v>695</v>
      </c>
      <c r="Z245" s="129" t="s">
        <v>304</v>
      </c>
      <c r="AA245" s="129" t="str">
        <f>""</f>
        <v/>
      </c>
      <c r="AB245" s="129">
        <v>15</v>
      </c>
      <c r="AC245" s="212">
        <v>0</v>
      </c>
      <c r="AD245" s="212" t="str">
        <f t="shared" si="47"/>
        <v/>
      </c>
      <c r="AE245" s="212" t="s">
        <v>627</v>
      </c>
      <c r="AF245" s="235">
        <v>43</v>
      </c>
      <c r="AG245" s="129"/>
    </row>
    <row r="246" spans="1:33" ht="15" x14ac:dyDescent="0.25">
      <c r="A246" s="129" t="s">
        <v>325</v>
      </c>
      <c r="B246" s="212">
        <v>238.35599999999999</v>
      </c>
      <c r="C246" s="205">
        <v>0</v>
      </c>
      <c r="D246" s="212"/>
      <c r="E246" s="205">
        <v>0</v>
      </c>
      <c r="F246" s="205">
        <v>837.44</v>
      </c>
      <c r="G246" s="245">
        <f t="shared" si="46"/>
        <v>284.62457011845623</v>
      </c>
      <c r="H246" s="212">
        <v>0</v>
      </c>
      <c r="I246" s="212" t="str">
        <f>""</f>
        <v/>
      </c>
      <c r="J246" s="212"/>
      <c r="K246" s="212">
        <v>0</v>
      </c>
      <c r="L246" s="129">
        <v>8000</v>
      </c>
      <c r="M246" s="129">
        <v>15</v>
      </c>
      <c r="N246" s="203">
        <f t="shared" si="56"/>
        <v>62.808000000000007</v>
      </c>
      <c r="O246" s="203">
        <f t="shared" si="57"/>
        <v>125.61600000000001</v>
      </c>
      <c r="P246" s="203">
        <f t="shared" si="58"/>
        <v>188.42400000000001</v>
      </c>
      <c r="Q246" s="203">
        <f t="shared" si="52"/>
        <v>238.35599999999999</v>
      </c>
      <c r="R246" s="129" t="s">
        <v>298</v>
      </c>
      <c r="S246" s="129" t="str">
        <f>""</f>
        <v/>
      </c>
      <c r="T246" s="129" t="s">
        <v>299</v>
      </c>
      <c r="U246" s="129" t="s">
        <v>300</v>
      </c>
      <c r="V246" s="129" t="s">
        <v>301</v>
      </c>
      <c r="W246" s="129" t="s">
        <v>302</v>
      </c>
      <c r="X246" s="129" t="s">
        <v>303</v>
      </c>
      <c r="Y246" s="129" t="s">
        <v>695</v>
      </c>
      <c r="Z246" s="129" t="s">
        <v>304</v>
      </c>
      <c r="AA246" s="129" t="str">
        <f>""</f>
        <v/>
      </c>
      <c r="AB246" s="129">
        <v>15</v>
      </c>
      <c r="AC246" s="212">
        <v>0</v>
      </c>
      <c r="AD246" s="212" t="str">
        <f t="shared" si="47"/>
        <v/>
      </c>
      <c r="AE246" s="212" t="s">
        <v>627</v>
      </c>
      <c r="AF246" s="235">
        <v>43</v>
      </c>
      <c r="AG246" s="129"/>
    </row>
    <row r="247" spans="1:33" ht="15" x14ac:dyDescent="0.25">
      <c r="A247" s="129" t="s">
        <v>952</v>
      </c>
      <c r="B247" s="212">
        <v>222.34200000000001</v>
      </c>
      <c r="C247" s="205">
        <v>0</v>
      </c>
      <c r="D247" s="212"/>
      <c r="E247" s="205">
        <v>0</v>
      </c>
      <c r="F247" s="205">
        <v>741.14</v>
      </c>
      <c r="G247" s="245">
        <f t="shared" ref="G247" si="59">(B247-E247)*1000/F247</f>
        <v>300</v>
      </c>
      <c r="H247" s="212">
        <v>0</v>
      </c>
      <c r="I247" s="212" t="str">
        <f>""</f>
        <v/>
      </c>
      <c r="J247" s="212"/>
      <c r="K247" s="212">
        <v>0</v>
      </c>
      <c r="L247" s="129">
        <v>8000</v>
      </c>
      <c r="M247" s="129">
        <v>15</v>
      </c>
      <c r="N247" s="203">
        <f t="shared" si="56"/>
        <v>55.585500000000003</v>
      </c>
      <c r="O247" s="203">
        <f t="shared" si="57"/>
        <v>111.17100000000001</v>
      </c>
      <c r="P247" s="203">
        <f t="shared" si="58"/>
        <v>166.75649999999999</v>
      </c>
      <c r="Q247" s="203">
        <f t="shared" si="52"/>
        <v>222.34200000000001</v>
      </c>
      <c r="R247" s="129" t="s">
        <v>298</v>
      </c>
      <c r="S247" s="129" t="str">
        <f>""</f>
        <v/>
      </c>
      <c r="T247" s="129" t="s">
        <v>299</v>
      </c>
      <c r="U247" s="129" t="s">
        <v>300</v>
      </c>
      <c r="V247" s="129" t="s">
        <v>301</v>
      </c>
      <c r="W247" s="129" t="s">
        <v>302</v>
      </c>
      <c r="X247" s="129" t="s">
        <v>303</v>
      </c>
      <c r="Y247" s="129" t="s">
        <v>695</v>
      </c>
      <c r="Z247" s="129" t="s">
        <v>304</v>
      </c>
      <c r="AA247" s="129"/>
      <c r="AB247" s="129">
        <v>15</v>
      </c>
      <c r="AC247" s="212">
        <v>0</v>
      </c>
      <c r="AD247" s="212" t="str">
        <f t="shared" ref="AD247" si="60">IF(AC247&lt;B247,"",FALSE)</f>
        <v/>
      </c>
      <c r="AE247" s="212" t="s">
        <v>627</v>
      </c>
      <c r="AF247" s="235"/>
      <c r="AG247" s="129"/>
    </row>
    <row r="248" spans="1:33" ht="15" x14ac:dyDescent="0.25">
      <c r="A248" s="129"/>
      <c r="B248" s="212"/>
      <c r="C248" s="205"/>
      <c r="D248" s="212"/>
      <c r="E248" s="205"/>
      <c r="F248" s="205"/>
      <c r="G248" s="245"/>
      <c r="H248" s="212"/>
      <c r="I248" s="212"/>
      <c r="J248" s="212"/>
      <c r="K248" s="212"/>
      <c r="L248" s="129"/>
      <c r="M248" s="129"/>
      <c r="N248" s="203"/>
      <c r="O248" s="203"/>
      <c r="P248" s="203"/>
      <c r="Q248" s="203"/>
      <c r="R248" s="129"/>
      <c r="S248" s="129"/>
      <c r="T248" s="129"/>
      <c r="U248" s="129"/>
      <c r="V248" s="129"/>
      <c r="W248" s="129"/>
      <c r="X248" s="129"/>
      <c r="Y248" s="129"/>
      <c r="Z248" s="129"/>
      <c r="AA248" s="129"/>
      <c r="AB248" s="129"/>
      <c r="AC248" s="212"/>
      <c r="AD248" s="212"/>
      <c r="AE248" s="212"/>
      <c r="AF248" s="236"/>
      <c r="AG248" s="129"/>
    </row>
    <row r="249" spans="1:33" ht="15" x14ac:dyDescent="0.25">
      <c r="A249" s="206" t="s">
        <v>326</v>
      </c>
      <c r="B249" s="212"/>
      <c r="C249" s="205"/>
      <c r="D249" s="212"/>
      <c r="E249" s="205"/>
      <c r="F249" s="205"/>
      <c r="G249" s="245"/>
      <c r="H249" s="212"/>
      <c r="I249" s="212"/>
      <c r="J249" s="212"/>
      <c r="K249" s="212"/>
      <c r="L249" s="129"/>
      <c r="M249" s="129"/>
      <c r="N249" s="203"/>
      <c r="O249" s="203"/>
      <c r="P249" s="203"/>
      <c r="Q249" s="203"/>
      <c r="R249" s="129"/>
      <c r="S249" s="129"/>
      <c r="T249" s="129"/>
      <c r="U249" s="129"/>
      <c r="V249" s="129"/>
      <c r="W249" s="129"/>
      <c r="X249" s="129"/>
      <c r="Y249" s="129"/>
      <c r="Z249" s="129"/>
      <c r="AA249" s="129"/>
      <c r="AB249" s="129"/>
      <c r="AC249" s="212"/>
      <c r="AD249" s="212"/>
      <c r="AE249" s="212"/>
      <c r="AF249" s="236"/>
      <c r="AG249" s="129"/>
    </row>
    <row r="250" spans="1:33" ht="15" x14ac:dyDescent="0.25">
      <c r="A250" s="129" t="s">
        <v>527</v>
      </c>
      <c r="B250" s="212">
        <v>90.632499999999993</v>
      </c>
      <c r="C250" s="205">
        <v>70.119299999999996</v>
      </c>
      <c r="D250" s="212"/>
      <c r="E250" s="205">
        <v>105.179</v>
      </c>
      <c r="F250" s="205">
        <v>842.46249999999998</v>
      </c>
      <c r="G250" s="245">
        <f t="shared" si="46"/>
        <v>-17.266643915901312</v>
      </c>
      <c r="H250" s="212">
        <v>148.3672</v>
      </c>
      <c r="I250" s="212" t="str">
        <f>""</f>
        <v/>
      </c>
      <c r="J250" s="212"/>
      <c r="K250" s="212">
        <v>0</v>
      </c>
      <c r="L250" s="129">
        <v>4000</v>
      </c>
      <c r="M250" s="129">
        <v>15</v>
      </c>
      <c r="N250" s="203">
        <f>MIN($B250,(75*$F250/1000)+$E250)</f>
        <v>90.632499999999993</v>
      </c>
      <c r="O250" s="203">
        <f>MIN($B250,(150*$F250/1000)+$E250)</f>
        <v>90.632499999999993</v>
      </c>
      <c r="P250" s="203">
        <f>MIN($B250,(225*$F250/1000)+$E250)</f>
        <v>90.632499999999993</v>
      </c>
      <c r="Q250" s="203">
        <f t="shared" si="52"/>
        <v>90.632499999999993</v>
      </c>
      <c r="R250" s="129" t="s">
        <v>327</v>
      </c>
      <c r="S250" s="129" t="str">
        <f>""</f>
        <v/>
      </c>
      <c r="T250" s="129" t="s">
        <v>299</v>
      </c>
      <c r="U250" s="129" t="s">
        <v>300</v>
      </c>
      <c r="V250" s="129" t="s">
        <v>301</v>
      </c>
      <c r="W250" s="129" t="s">
        <v>328</v>
      </c>
      <c r="X250" s="129" t="s">
        <v>329</v>
      </c>
      <c r="Y250" s="129" t="s">
        <v>330</v>
      </c>
      <c r="Z250" s="129" t="s">
        <v>304</v>
      </c>
      <c r="AA250" s="129" t="str">
        <f>""</f>
        <v/>
      </c>
      <c r="AB250" s="129">
        <v>15</v>
      </c>
      <c r="AC250" s="212">
        <f>'PBL OT 2024'!$F$30/POWER(1.02,7)</f>
        <v>91.56466699232648</v>
      </c>
      <c r="AD250" s="212" t="b">
        <f t="shared" si="47"/>
        <v>0</v>
      </c>
      <c r="AE250" s="212" t="s">
        <v>689</v>
      </c>
      <c r="AF250" s="235">
        <v>45</v>
      </c>
      <c r="AG250" s="129"/>
    </row>
    <row r="251" spans="1:33" ht="15" x14ac:dyDescent="0.25">
      <c r="A251" s="129" t="s">
        <v>528</v>
      </c>
      <c r="B251" s="212">
        <v>89.296800000000005</v>
      </c>
      <c r="C251" s="205">
        <v>70.119299999999996</v>
      </c>
      <c r="D251" s="212"/>
      <c r="E251" s="205">
        <v>105.179</v>
      </c>
      <c r="F251" s="205">
        <v>848.33500000000004</v>
      </c>
      <c r="G251" s="245">
        <f t="shared" si="46"/>
        <v>-18.721613513529437</v>
      </c>
      <c r="H251" s="212">
        <v>148.3672</v>
      </c>
      <c r="I251" s="212" t="str">
        <f>""</f>
        <v/>
      </c>
      <c r="J251" s="212"/>
      <c r="K251" s="212">
        <v>0</v>
      </c>
      <c r="L251" s="129">
        <v>4000</v>
      </c>
      <c r="M251" s="129">
        <v>15</v>
      </c>
      <c r="N251" s="203">
        <f t="shared" ref="N251:N255" si="61">MIN($B251,(75*$F251/1000)+$E251)</f>
        <v>89.296800000000005</v>
      </c>
      <c r="O251" s="203">
        <f t="shared" ref="O251:O255" si="62">MIN($B251,(150*$F251/1000)+$E251)</f>
        <v>89.296800000000005</v>
      </c>
      <c r="P251" s="203">
        <f t="shared" ref="P251:P255" si="63">MIN($B251,(225*$F251/1000)+$E251)</f>
        <v>89.296800000000005</v>
      </c>
      <c r="Q251" s="203">
        <f t="shared" si="52"/>
        <v>89.296800000000005</v>
      </c>
      <c r="R251" s="129" t="s">
        <v>327</v>
      </c>
      <c r="S251" s="129" t="str">
        <f>""</f>
        <v/>
      </c>
      <c r="T251" s="129" t="s">
        <v>299</v>
      </c>
      <c r="U251" s="129" t="s">
        <v>300</v>
      </c>
      <c r="V251" s="129" t="s">
        <v>301</v>
      </c>
      <c r="W251" s="129" t="s">
        <v>328</v>
      </c>
      <c r="X251" s="129" t="s">
        <v>329</v>
      </c>
      <c r="Y251" s="129" t="s">
        <v>330</v>
      </c>
      <c r="Z251" s="129" t="s">
        <v>304</v>
      </c>
      <c r="AA251" s="129" t="str">
        <f>""</f>
        <v/>
      </c>
      <c r="AB251" s="129">
        <v>15</v>
      </c>
      <c r="AC251" s="212">
        <f>'PBL OT 2024'!$F$30/POWER(1.02,7)</f>
        <v>91.56466699232648</v>
      </c>
      <c r="AD251" s="212" t="b">
        <f t="shared" si="47"/>
        <v>0</v>
      </c>
      <c r="AE251" s="212" t="s">
        <v>689</v>
      </c>
      <c r="AF251" s="235">
        <v>45</v>
      </c>
      <c r="AG251" s="129"/>
    </row>
    <row r="252" spans="1:33" ht="15" x14ac:dyDescent="0.25">
      <c r="A252" s="129" t="s">
        <v>331</v>
      </c>
      <c r="B252" s="212">
        <v>172.2054</v>
      </c>
      <c r="C252" s="205">
        <v>70.119299999999996</v>
      </c>
      <c r="D252" s="212"/>
      <c r="E252" s="205">
        <v>105.179</v>
      </c>
      <c r="F252" s="205">
        <v>762.02499999999998</v>
      </c>
      <c r="G252" s="245">
        <f t="shared" si="46"/>
        <v>87.958269085659907</v>
      </c>
      <c r="H252" s="212">
        <v>148.3672</v>
      </c>
      <c r="I252" s="212" t="str">
        <f>""</f>
        <v/>
      </c>
      <c r="J252" s="212"/>
      <c r="K252" s="212">
        <v>0</v>
      </c>
      <c r="L252" s="129">
        <v>4000</v>
      </c>
      <c r="M252" s="129">
        <v>15</v>
      </c>
      <c r="N252" s="203">
        <f t="shared" si="61"/>
        <v>162.33087499999999</v>
      </c>
      <c r="O252" s="203">
        <f t="shared" si="62"/>
        <v>172.2054</v>
      </c>
      <c r="P252" s="203">
        <f t="shared" si="63"/>
        <v>172.2054</v>
      </c>
      <c r="Q252" s="203">
        <f t="shared" si="52"/>
        <v>172.2054</v>
      </c>
      <c r="R252" s="129" t="s">
        <v>327</v>
      </c>
      <c r="S252" s="129" t="str">
        <f>""</f>
        <v/>
      </c>
      <c r="T252" s="129" t="s">
        <v>299</v>
      </c>
      <c r="U252" s="129" t="s">
        <v>300</v>
      </c>
      <c r="V252" s="129" t="s">
        <v>301</v>
      </c>
      <c r="W252" s="129" t="s">
        <v>328</v>
      </c>
      <c r="X252" s="129" t="s">
        <v>329</v>
      </c>
      <c r="Y252" s="129" t="s">
        <v>330</v>
      </c>
      <c r="Z252" s="129" t="s">
        <v>304</v>
      </c>
      <c r="AA252" s="129" t="str">
        <f>""</f>
        <v/>
      </c>
      <c r="AB252" s="129">
        <v>15</v>
      </c>
      <c r="AC252" s="212">
        <f>'PBL OT 2024'!$F$30/POWER(1.02,7)</f>
        <v>91.56466699232648</v>
      </c>
      <c r="AD252" s="212" t="str">
        <f t="shared" si="47"/>
        <v/>
      </c>
      <c r="AE252" s="212" t="s">
        <v>689</v>
      </c>
      <c r="AF252" s="235">
        <v>45</v>
      </c>
      <c r="AG252" s="129"/>
    </row>
    <row r="253" spans="1:33" ht="15" x14ac:dyDescent="0.25">
      <c r="A253" s="129" t="s">
        <v>332</v>
      </c>
      <c r="B253" s="212">
        <v>146.3869</v>
      </c>
      <c r="C253" s="205">
        <v>70.119299999999996</v>
      </c>
      <c r="D253" s="212"/>
      <c r="E253" s="205">
        <v>105.179</v>
      </c>
      <c r="F253" s="205">
        <v>777.77499999999998</v>
      </c>
      <c r="G253" s="245">
        <f t="shared" si="46"/>
        <v>52.981774934910476</v>
      </c>
      <c r="H253" s="212">
        <v>148.3672</v>
      </c>
      <c r="I253" s="212" t="str">
        <f>""</f>
        <v/>
      </c>
      <c r="J253" s="212"/>
      <c r="K253" s="212">
        <v>0</v>
      </c>
      <c r="L253" s="129">
        <v>4000</v>
      </c>
      <c r="M253" s="129">
        <v>15</v>
      </c>
      <c r="N253" s="203">
        <f t="shared" si="61"/>
        <v>146.3869</v>
      </c>
      <c r="O253" s="203">
        <f t="shared" si="62"/>
        <v>146.3869</v>
      </c>
      <c r="P253" s="203">
        <f t="shared" si="63"/>
        <v>146.3869</v>
      </c>
      <c r="Q253" s="203">
        <f t="shared" si="52"/>
        <v>146.3869</v>
      </c>
      <c r="R253" s="129" t="s">
        <v>327</v>
      </c>
      <c r="S253" s="129" t="str">
        <f>""</f>
        <v/>
      </c>
      <c r="T253" s="129" t="s">
        <v>299</v>
      </c>
      <c r="U253" s="129" t="s">
        <v>300</v>
      </c>
      <c r="V253" s="129" t="s">
        <v>301</v>
      </c>
      <c r="W253" s="129" t="s">
        <v>328</v>
      </c>
      <c r="X253" s="129" t="s">
        <v>329</v>
      </c>
      <c r="Y253" s="129" t="s">
        <v>330</v>
      </c>
      <c r="Z253" s="129" t="s">
        <v>304</v>
      </c>
      <c r="AA253" s="129" t="str">
        <f>""</f>
        <v/>
      </c>
      <c r="AB253" s="129">
        <v>15</v>
      </c>
      <c r="AC253" s="212">
        <f>'PBL OT 2024'!$F$30/POWER(1.02,7)</f>
        <v>91.56466699232648</v>
      </c>
      <c r="AD253" s="212" t="str">
        <f t="shared" si="47"/>
        <v/>
      </c>
      <c r="AE253" s="212" t="s">
        <v>689</v>
      </c>
      <c r="AF253" s="235">
        <v>45</v>
      </c>
      <c r="AG253" s="129"/>
    </row>
    <row r="254" spans="1:33" ht="15" x14ac:dyDescent="0.25">
      <c r="A254" s="129" t="s">
        <v>922</v>
      </c>
      <c r="B254" s="212">
        <v>202.8852</v>
      </c>
      <c r="C254" s="205">
        <v>70.119299999999996</v>
      </c>
      <c r="D254" s="212"/>
      <c r="E254" s="205">
        <v>105.179</v>
      </c>
      <c r="F254" s="205">
        <v>681.47500000000002</v>
      </c>
      <c r="G254" s="245">
        <f t="shared" si="46"/>
        <v>143.37459187791188</v>
      </c>
      <c r="H254" s="212">
        <v>148.3672</v>
      </c>
      <c r="I254" s="212" t="str">
        <f>""</f>
        <v/>
      </c>
      <c r="J254" s="212"/>
      <c r="K254" s="212">
        <v>0</v>
      </c>
      <c r="L254" s="129">
        <v>4000</v>
      </c>
      <c r="M254" s="129">
        <v>15</v>
      </c>
      <c r="N254" s="203">
        <f t="shared" si="61"/>
        <v>156.289625</v>
      </c>
      <c r="O254" s="203">
        <f t="shared" si="62"/>
        <v>202.8852</v>
      </c>
      <c r="P254" s="203">
        <f t="shared" si="63"/>
        <v>202.8852</v>
      </c>
      <c r="Q254" s="203">
        <f t="shared" si="52"/>
        <v>202.8852</v>
      </c>
      <c r="R254" s="129" t="s">
        <v>327</v>
      </c>
      <c r="S254" s="129" t="str">
        <f>""</f>
        <v/>
      </c>
      <c r="T254" s="129" t="s">
        <v>299</v>
      </c>
      <c r="U254" s="129" t="s">
        <v>300</v>
      </c>
      <c r="V254" s="129" t="s">
        <v>301</v>
      </c>
      <c r="W254" s="129" t="s">
        <v>328</v>
      </c>
      <c r="X254" s="129" t="s">
        <v>329</v>
      </c>
      <c r="Y254" s="129" t="s">
        <v>330</v>
      </c>
      <c r="Z254" s="129" t="s">
        <v>304</v>
      </c>
      <c r="AA254" s="129" t="str">
        <f>""</f>
        <v/>
      </c>
      <c r="AB254" s="129">
        <v>15</v>
      </c>
      <c r="AC254" s="212">
        <f>'PBL OT 2024'!$F$30/POWER(1.02,7)</f>
        <v>91.56466699232648</v>
      </c>
      <c r="AD254" s="212" t="str">
        <f t="shared" si="47"/>
        <v/>
      </c>
      <c r="AE254" s="212" t="s">
        <v>689</v>
      </c>
      <c r="AF254" s="235">
        <v>45</v>
      </c>
      <c r="AG254" s="129"/>
    </row>
    <row r="255" spans="1:33" ht="15" x14ac:dyDescent="0.25">
      <c r="A255" s="129" t="s">
        <v>955</v>
      </c>
      <c r="B255" s="212">
        <v>135.68860000000001</v>
      </c>
      <c r="C255" s="205">
        <v>70.119299999999996</v>
      </c>
      <c r="D255" s="212"/>
      <c r="E255" s="205">
        <v>105.179</v>
      </c>
      <c r="F255" s="205">
        <v>774.05</v>
      </c>
      <c r="G255" s="245">
        <f t="shared" si="46"/>
        <v>39.415541631677549</v>
      </c>
      <c r="H255" s="212">
        <v>148.3672</v>
      </c>
      <c r="I255" s="212" t="str">
        <f>""</f>
        <v/>
      </c>
      <c r="J255" s="212"/>
      <c r="K255" s="212">
        <v>0</v>
      </c>
      <c r="L255" s="129">
        <v>4000</v>
      </c>
      <c r="M255" s="129">
        <v>15</v>
      </c>
      <c r="N255" s="203">
        <f t="shared" si="61"/>
        <v>135.68860000000001</v>
      </c>
      <c r="O255" s="203">
        <f t="shared" si="62"/>
        <v>135.68860000000001</v>
      </c>
      <c r="P255" s="203">
        <f t="shared" si="63"/>
        <v>135.68860000000001</v>
      </c>
      <c r="Q255" s="203">
        <f t="shared" si="52"/>
        <v>135.68860000000001</v>
      </c>
      <c r="R255" s="129" t="s">
        <v>327</v>
      </c>
      <c r="S255" s="129" t="str">
        <f>""</f>
        <v/>
      </c>
      <c r="T255" s="129" t="s">
        <v>299</v>
      </c>
      <c r="U255" s="129" t="s">
        <v>300</v>
      </c>
      <c r="V255" s="129" t="s">
        <v>301</v>
      </c>
      <c r="W255" s="129" t="s">
        <v>328</v>
      </c>
      <c r="X255" s="129" t="s">
        <v>329</v>
      </c>
      <c r="Y255" s="129" t="s">
        <v>330</v>
      </c>
      <c r="Z255" s="129" t="s">
        <v>304</v>
      </c>
      <c r="AA255" s="129" t="str">
        <f>""</f>
        <v/>
      </c>
      <c r="AB255" s="129">
        <v>15</v>
      </c>
      <c r="AC255" s="212">
        <f>'PBL OT 2024'!$F$30/POWER(1.02,7)</f>
        <v>91.56466699232648</v>
      </c>
      <c r="AD255" s="212" t="str">
        <f t="shared" si="47"/>
        <v/>
      </c>
      <c r="AE255" s="212" t="s">
        <v>689</v>
      </c>
      <c r="AF255" s="235">
        <v>45</v>
      </c>
      <c r="AG255" s="129"/>
    </row>
    <row r="256" spans="1:33" ht="15" x14ac:dyDescent="0.25">
      <c r="A256" s="129"/>
      <c r="B256" s="212"/>
      <c r="C256" s="205"/>
      <c r="D256" s="212"/>
      <c r="E256" s="205"/>
      <c r="F256" s="205"/>
      <c r="G256" s="245"/>
      <c r="H256" s="212"/>
      <c r="I256" s="212"/>
      <c r="J256" s="212"/>
      <c r="K256" s="212"/>
      <c r="L256" s="129"/>
      <c r="M256" s="129"/>
      <c r="N256" s="203"/>
      <c r="O256" s="203"/>
      <c r="P256" s="203"/>
      <c r="Q256" s="203"/>
      <c r="R256" s="129"/>
      <c r="S256" s="129"/>
      <c r="T256" s="129"/>
      <c r="U256" s="129"/>
      <c r="V256" s="129"/>
      <c r="W256" s="129"/>
      <c r="X256" s="129"/>
      <c r="Y256" s="129"/>
      <c r="Z256" s="129"/>
      <c r="AA256" s="129"/>
      <c r="AB256" s="129"/>
      <c r="AC256" s="212"/>
      <c r="AD256" s="212"/>
      <c r="AE256" s="212"/>
      <c r="AF256" s="235"/>
      <c r="AG256" s="129"/>
    </row>
    <row r="257" spans="1:33" ht="15" x14ac:dyDescent="0.25">
      <c r="A257" s="206" t="s">
        <v>333</v>
      </c>
      <c r="B257" s="212"/>
      <c r="C257" s="205"/>
      <c r="D257" s="212"/>
      <c r="E257" s="205"/>
      <c r="F257" s="205"/>
      <c r="G257" s="245"/>
      <c r="H257" s="212"/>
      <c r="I257" s="212"/>
      <c r="J257" s="212"/>
      <c r="K257" s="212"/>
      <c r="L257" s="129"/>
      <c r="M257" s="129"/>
      <c r="N257" s="203"/>
      <c r="O257" s="203"/>
      <c r="P257" s="203"/>
      <c r="Q257" s="203"/>
      <c r="R257" s="129"/>
      <c r="S257" s="129"/>
      <c r="T257" s="129"/>
      <c r="U257" s="129"/>
      <c r="V257" s="129"/>
      <c r="W257" s="129"/>
      <c r="X257" s="129"/>
      <c r="Y257" s="129"/>
      <c r="Z257" s="129"/>
      <c r="AA257" s="129"/>
      <c r="AB257" s="129"/>
      <c r="AC257" s="212"/>
      <c r="AD257" s="212"/>
      <c r="AE257" s="212"/>
      <c r="AF257" s="235"/>
      <c r="AG257" s="129"/>
    </row>
    <row r="258" spans="1:33" ht="15" x14ac:dyDescent="0.25">
      <c r="A258" s="129" t="s">
        <v>529</v>
      </c>
      <c r="B258" s="212">
        <v>105.0264</v>
      </c>
      <c r="C258" s="205">
        <v>70.119299999999996</v>
      </c>
      <c r="D258" s="212"/>
      <c r="E258" s="205">
        <v>105.179</v>
      </c>
      <c r="F258" s="205">
        <v>842.46249999999998</v>
      </c>
      <c r="G258" s="245">
        <f t="shared" si="46"/>
        <v>-0.18113565885722716</v>
      </c>
      <c r="H258" s="212">
        <v>148.3672</v>
      </c>
      <c r="I258" s="212" t="str">
        <f>""</f>
        <v/>
      </c>
      <c r="J258" s="212"/>
      <c r="K258" s="212">
        <v>0</v>
      </c>
      <c r="L258" s="129">
        <v>4000</v>
      </c>
      <c r="M258" s="129">
        <v>15</v>
      </c>
      <c r="N258" s="203">
        <f>MIN($B258,(75*$F258/1000)+$E258)</f>
        <v>105.0264</v>
      </c>
      <c r="O258" s="203">
        <f>MIN($B258,(150*$F258/1000)+$E258)</f>
        <v>105.0264</v>
      </c>
      <c r="P258" s="203">
        <f>MIN($B258,(225*$F258/1000)+$E258)</f>
        <v>105.0264</v>
      </c>
      <c r="Q258" s="203">
        <f t="shared" si="52"/>
        <v>105.0264</v>
      </c>
      <c r="R258" s="129" t="s">
        <v>327</v>
      </c>
      <c r="S258" s="129" t="str">
        <f>""</f>
        <v/>
      </c>
      <c r="T258" s="129" t="s">
        <v>299</v>
      </c>
      <c r="U258" s="129" t="s">
        <v>300</v>
      </c>
      <c r="V258" s="129" t="s">
        <v>301</v>
      </c>
      <c r="W258" s="129" t="s">
        <v>328</v>
      </c>
      <c r="X258" s="129" t="s">
        <v>329</v>
      </c>
      <c r="Y258" s="129" t="s">
        <v>330</v>
      </c>
      <c r="Z258" s="129" t="s">
        <v>304</v>
      </c>
      <c r="AA258" s="129" t="str">
        <f>""</f>
        <v/>
      </c>
      <c r="AB258" s="129">
        <v>15</v>
      </c>
      <c r="AC258" s="212">
        <f>'PBL OT 2024'!$F$30/POWER(1.02,7)</f>
        <v>91.56466699232648</v>
      </c>
      <c r="AD258" s="212" t="str">
        <f t="shared" si="47"/>
        <v/>
      </c>
      <c r="AE258" s="212" t="s">
        <v>689</v>
      </c>
      <c r="AF258" s="235">
        <v>45</v>
      </c>
      <c r="AG258" s="129"/>
    </row>
    <row r="259" spans="1:33" ht="15" x14ac:dyDescent="0.25">
      <c r="A259" s="129" t="s">
        <v>530</v>
      </c>
      <c r="B259" s="212">
        <v>103.69070000000001</v>
      </c>
      <c r="C259" s="205">
        <v>70.119299999999996</v>
      </c>
      <c r="D259" s="212"/>
      <c r="E259" s="205">
        <v>105.179</v>
      </c>
      <c r="F259" s="205">
        <v>848.33500000000004</v>
      </c>
      <c r="G259" s="245">
        <f t="shared" si="46"/>
        <v>-1.7543776927746646</v>
      </c>
      <c r="H259" s="212">
        <v>148.3672</v>
      </c>
      <c r="I259" s="212" t="str">
        <f>""</f>
        <v/>
      </c>
      <c r="J259" s="212"/>
      <c r="K259" s="212">
        <v>0</v>
      </c>
      <c r="L259" s="129">
        <v>4000</v>
      </c>
      <c r="M259" s="129">
        <v>15</v>
      </c>
      <c r="N259" s="203">
        <f t="shared" ref="N259:N262" si="64">MIN($B259,(75*$F259/1000)+$E259)</f>
        <v>103.69070000000001</v>
      </c>
      <c r="O259" s="203">
        <f t="shared" ref="O259:O262" si="65">MIN($B259,(150*$F259/1000)+$E259)</f>
        <v>103.69070000000001</v>
      </c>
      <c r="P259" s="203">
        <f t="shared" ref="P259:P262" si="66">MIN($B259,(225*$F259/1000)+$E259)</f>
        <v>103.69070000000001</v>
      </c>
      <c r="Q259" s="203">
        <f t="shared" si="52"/>
        <v>103.69070000000001</v>
      </c>
      <c r="R259" s="129" t="s">
        <v>327</v>
      </c>
      <c r="S259" s="129" t="str">
        <f>""</f>
        <v/>
      </c>
      <c r="T259" s="129" t="s">
        <v>299</v>
      </c>
      <c r="U259" s="129" t="s">
        <v>300</v>
      </c>
      <c r="V259" s="129" t="s">
        <v>301</v>
      </c>
      <c r="W259" s="129" t="s">
        <v>328</v>
      </c>
      <c r="X259" s="129" t="s">
        <v>329</v>
      </c>
      <c r="Y259" s="129" t="s">
        <v>330</v>
      </c>
      <c r="Z259" s="129" t="s">
        <v>304</v>
      </c>
      <c r="AA259" s="129" t="str">
        <f>""</f>
        <v/>
      </c>
      <c r="AB259" s="129">
        <v>15</v>
      </c>
      <c r="AC259" s="212">
        <f>'PBL OT 2024'!$F$30/POWER(1.02,7)</f>
        <v>91.56466699232648</v>
      </c>
      <c r="AD259" s="212" t="str">
        <f t="shared" si="47"/>
        <v/>
      </c>
      <c r="AE259" s="212" t="s">
        <v>689</v>
      </c>
      <c r="AF259" s="235">
        <v>45</v>
      </c>
      <c r="AG259" s="129"/>
    </row>
    <row r="260" spans="1:33" ht="15" x14ac:dyDescent="0.25">
      <c r="A260" s="129" t="s">
        <v>334</v>
      </c>
      <c r="B260" s="212">
        <v>186.5993</v>
      </c>
      <c r="C260" s="205">
        <v>70.119299999999996</v>
      </c>
      <c r="D260" s="212"/>
      <c r="E260" s="205">
        <v>105.179</v>
      </c>
      <c r="F260" s="205">
        <v>762.02499999999998</v>
      </c>
      <c r="G260" s="245">
        <f t="shared" si="46"/>
        <v>106.84728191332306</v>
      </c>
      <c r="H260" s="212">
        <v>148.3672</v>
      </c>
      <c r="I260" s="212" t="str">
        <f>""</f>
        <v/>
      </c>
      <c r="J260" s="212"/>
      <c r="K260" s="212">
        <v>0</v>
      </c>
      <c r="L260" s="129">
        <v>4000</v>
      </c>
      <c r="M260" s="129">
        <v>15</v>
      </c>
      <c r="N260" s="203">
        <f t="shared" si="64"/>
        <v>162.33087499999999</v>
      </c>
      <c r="O260" s="203">
        <f t="shared" si="65"/>
        <v>186.5993</v>
      </c>
      <c r="P260" s="203">
        <f t="shared" si="66"/>
        <v>186.5993</v>
      </c>
      <c r="Q260" s="203">
        <f t="shared" si="52"/>
        <v>186.5993</v>
      </c>
      <c r="R260" s="129" t="s">
        <v>327</v>
      </c>
      <c r="S260" s="129" t="str">
        <f>""</f>
        <v/>
      </c>
      <c r="T260" s="129" t="s">
        <v>299</v>
      </c>
      <c r="U260" s="129" t="s">
        <v>300</v>
      </c>
      <c r="V260" s="129" t="s">
        <v>301</v>
      </c>
      <c r="W260" s="129" t="s">
        <v>328</v>
      </c>
      <c r="X260" s="129" t="s">
        <v>329</v>
      </c>
      <c r="Y260" s="129" t="s">
        <v>330</v>
      </c>
      <c r="Z260" s="129" t="s">
        <v>304</v>
      </c>
      <c r="AA260" s="129" t="str">
        <f>""</f>
        <v/>
      </c>
      <c r="AB260" s="129">
        <v>15</v>
      </c>
      <c r="AC260" s="212">
        <f>'PBL OT 2024'!$F$30/POWER(1.02,7)</f>
        <v>91.56466699232648</v>
      </c>
      <c r="AD260" s="212" t="str">
        <f t="shared" si="47"/>
        <v/>
      </c>
      <c r="AE260" s="212" t="s">
        <v>689</v>
      </c>
      <c r="AF260" s="235">
        <v>45</v>
      </c>
      <c r="AG260" s="129"/>
    </row>
    <row r="261" spans="1:33" ht="15" x14ac:dyDescent="0.25">
      <c r="A261" s="129" t="s">
        <v>335</v>
      </c>
      <c r="B261" s="212">
        <v>160.7808</v>
      </c>
      <c r="C261" s="205">
        <v>70.119299999999996</v>
      </c>
      <c r="D261" s="212"/>
      <c r="E261" s="205">
        <v>105.179</v>
      </c>
      <c r="F261" s="205">
        <v>777.77499999999998</v>
      </c>
      <c r="G261" s="245">
        <f t="shared" si="46"/>
        <v>71.488283886728169</v>
      </c>
      <c r="H261" s="212">
        <v>148.3672</v>
      </c>
      <c r="I261" s="212" t="str">
        <f>""</f>
        <v/>
      </c>
      <c r="J261" s="212"/>
      <c r="K261" s="212">
        <v>0</v>
      </c>
      <c r="L261" s="129">
        <v>4000</v>
      </c>
      <c r="M261" s="129">
        <v>15</v>
      </c>
      <c r="N261" s="203">
        <f t="shared" si="64"/>
        <v>160.7808</v>
      </c>
      <c r="O261" s="203">
        <f t="shared" si="65"/>
        <v>160.7808</v>
      </c>
      <c r="P261" s="203">
        <f t="shared" si="66"/>
        <v>160.7808</v>
      </c>
      <c r="Q261" s="203">
        <f t="shared" si="52"/>
        <v>160.7808</v>
      </c>
      <c r="R261" s="129" t="s">
        <v>327</v>
      </c>
      <c r="S261" s="129" t="str">
        <f>""</f>
        <v/>
      </c>
      <c r="T261" s="129" t="s">
        <v>299</v>
      </c>
      <c r="U261" s="129" t="s">
        <v>300</v>
      </c>
      <c r="V261" s="129" t="s">
        <v>301</v>
      </c>
      <c r="W261" s="129" t="s">
        <v>328</v>
      </c>
      <c r="X261" s="129" t="s">
        <v>329</v>
      </c>
      <c r="Y261" s="129" t="s">
        <v>330</v>
      </c>
      <c r="Z261" s="129" t="s">
        <v>304</v>
      </c>
      <c r="AA261" s="129" t="str">
        <f>""</f>
        <v/>
      </c>
      <c r="AB261" s="129">
        <v>15</v>
      </c>
      <c r="AC261" s="212">
        <f>'PBL OT 2024'!$F$30/POWER(1.02,7)</f>
        <v>91.56466699232648</v>
      </c>
      <c r="AD261" s="212" t="str">
        <f t="shared" si="47"/>
        <v/>
      </c>
      <c r="AE261" s="212" t="s">
        <v>689</v>
      </c>
      <c r="AF261" s="235">
        <v>45</v>
      </c>
      <c r="AG261" s="129"/>
    </row>
    <row r="262" spans="1:33" ht="15" x14ac:dyDescent="0.25">
      <c r="A262" s="129" t="s">
        <v>921</v>
      </c>
      <c r="B262" s="212">
        <v>217.2791</v>
      </c>
      <c r="C262" s="205">
        <v>70.119299999999996</v>
      </c>
      <c r="D262" s="212"/>
      <c r="E262" s="205">
        <v>105.179</v>
      </c>
      <c r="F262" s="205">
        <v>681.47500000000002</v>
      </c>
      <c r="G262" s="245">
        <f t="shared" si="46"/>
        <v>164.49627645915109</v>
      </c>
      <c r="H262" s="212">
        <v>148.3672</v>
      </c>
      <c r="I262" s="212" t="str">
        <f>""</f>
        <v/>
      </c>
      <c r="J262" s="212"/>
      <c r="K262" s="212">
        <v>0</v>
      </c>
      <c r="L262" s="129">
        <v>4000</v>
      </c>
      <c r="M262" s="129">
        <v>15</v>
      </c>
      <c r="N262" s="203">
        <f t="shared" si="64"/>
        <v>156.289625</v>
      </c>
      <c r="O262" s="203">
        <f t="shared" si="65"/>
        <v>207.40025</v>
      </c>
      <c r="P262" s="203">
        <f t="shared" si="66"/>
        <v>217.2791</v>
      </c>
      <c r="Q262" s="203">
        <f t="shared" si="52"/>
        <v>217.2791</v>
      </c>
      <c r="R262" s="129" t="s">
        <v>327</v>
      </c>
      <c r="S262" s="129" t="str">
        <f>""</f>
        <v/>
      </c>
      <c r="T262" s="129" t="s">
        <v>299</v>
      </c>
      <c r="U262" s="129" t="s">
        <v>300</v>
      </c>
      <c r="V262" s="129" t="s">
        <v>301</v>
      </c>
      <c r="W262" s="129" t="s">
        <v>328</v>
      </c>
      <c r="X262" s="129" t="s">
        <v>329</v>
      </c>
      <c r="Y262" s="129" t="s">
        <v>330</v>
      </c>
      <c r="Z262" s="129" t="s">
        <v>304</v>
      </c>
      <c r="AA262" s="129" t="str">
        <f>""</f>
        <v/>
      </c>
      <c r="AB262" s="129">
        <v>15</v>
      </c>
      <c r="AC262" s="212">
        <f>'PBL OT 2024'!$F$30/POWER(1.02,7)</f>
        <v>91.56466699232648</v>
      </c>
      <c r="AD262" s="212" t="str">
        <f t="shared" si="47"/>
        <v/>
      </c>
      <c r="AE262" s="212" t="s">
        <v>689</v>
      </c>
      <c r="AF262" s="235">
        <v>45</v>
      </c>
      <c r="AG262" s="129"/>
    </row>
    <row r="263" spans="1:33" ht="15" x14ac:dyDescent="0.25">
      <c r="A263" s="129"/>
      <c r="B263" s="212"/>
      <c r="C263" s="205"/>
      <c r="D263" s="212"/>
      <c r="E263" s="205"/>
      <c r="F263" s="205"/>
      <c r="G263" s="245"/>
      <c r="H263" s="212"/>
      <c r="I263" s="212"/>
      <c r="J263" s="212"/>
      <c r="K263" s="212"/>
      <c r="L263" s="129"/>
      <c r="M263" s="129"/>
      <c r="N263" s="203"/>
      <c r="O263" s="203"/>
      <c r="P263" s="203"/>
      <c r="Q263" s="203"/>
      <c r="R263" s="129"/>
      <c r="S263" s="129"/>
      <c r="T263" s="129"/>
      <c r="U263" s="129"/>
      <c r="V263" s="129"/>
      <c r="W263" s="129"/>
      <c r="X263" s="129"/>
      <c r="Y263" s="129"/>
      <c r="Z263" s="129"/>
      <c r="AA263" s="129"/>
      <c r="AB263" s="129"/>
      <c r="AC263" s="212"/>
      <c r="AD263" s="212"/>
      <c r="AE263" s="212"/>
      <c r="AF263" s="235"/>
      <c r="AG263" s="129"/>
    </row>
    <row r="264" spans="1:33" ht="15" x14ac:dyDescent="0.25">
      <c r="A264" s="206" t="s">
        <v>336</v>
      </c>
      <c r="B264" s="212"/>
      <c r="C264" s="205"/>
      <c r="D264" s="212"/>
      <c r="E264" s="205"/>
      <c r="F264" s="205"/>
      <c r="G264" s="245"/>
      <c r="H264" s="212"/>
      <c r="I264" s="212"/>
      <c r="J264" s="212"/>
      <c r="K264" s="212"/>
      <c r="L264" s="129"/>
      <c r="M264" s="129"/>
      <c r="N264" s="203"/>
      <c r="O264" s="203"/>
      <c r="P264" s="203"/>
      <c r="Q264" s="203"/>
      <c r="R264" s="129"/>
      <c r="S264" s="129"/>
      <c r="T264" s="129"/>
      <c r="U264" s="129"/>
      <c r="V264" s="129"/>
      <c r="W264" s="129"/>
      <c r="X264" s="129"/>
      <c r="Y264" s="129"/>
      <c r="Z264" s="129"/>
      <c r="AA264" s="129"/>
      <c r="AB264" s="129"/>
      <c r="AC264" s="212"/>
      <c r="AD264" s="212"/>
      <c r="AE264" s="212"/>
      <c r="AF264" s="235"/>
      <c r="AG264" s="129"/>
    </row>
    <row r="265" spans="1:33" ht="15" x14ac:dyDescent="0.25">
      <c r="A265" s="129" t="s">
        <v>531</v>
      </c>
      <c r="B265" s="212">
        <v>130.4494</v>
      </c>
      <c r="C265" s="205">
        <v>70.119299999999996</v>
      </c>
      <c r="D265" s="212"/>
      <c r="E265" s="205">
        <v>105.179</v>
      </c>
      <c r="F265" s="205">
        <v>828.48749999999995</v>
      </c>
      <c r="G265" s="245">
        <f t="shared" si="46"/>
        <v>30.501848247559554</v>
      </c>
      <c r="H265" s="212">
        <v>148.3672</v>
      </c>
      <c r="I265" s="212" t="str">
        <f>""</f>
        <v/>
      </c>
      <c r="J265" s="212"/>
      <c r="K265" s="212">
        <v>0</v>
      </c>
      <c r="L265" s="129">
        <v>4000</v>
      </c>
      <c r="M265" s="129">
        <v>15</v>
      </c>
      <c r="N265" s="203">
        <f>MIN($B265,(75*$F265/1000)+$E265)</f>
        <v>130.4494</v>
      </c>
      <c r="O265" s="203">
        <f>MIN($B265,(150*$F265/1000)+$E265)</f>
        <v>130.4494</v>
      </c>
      <c r="P265" s="203">
        <f>MIN($B265,(225*$F265/1000)+$E265)</f>
        <v>130.4494</v>
      </c>
      <c r="Q265" s="203">
        <f t="shared" si="52"/>
        <v>130.4494</v>
      </c>
      <c r="R265" s="129" t="s">
        <v>327</v>
      </c>
      <c r="S265" s="129" t="str">
        <f>""</f>
        <v/>
      </c>
      <c r="T265" s="129" t="s">
        <v>299</v>
      </c>
      <c r="U265" s="129" t="s">
        <v>300</v>
      </c>
      <c r="V265" s="129" t="s">
        <v>301</v>
      </c>
      <c r="W265" s="129" t="s">
        <v>328</v>
      </c>
      <c r="X265" s="129" t="s">
        <v>329</v>
      </c>
      <c r="Y265" s="129" t="s">
        <v>330</v>
      </c>
      <c r="Z265" s="129" t="s">
        <v>304</v>
      </c>
      <c r="AA265" s="129" t="str">
        <f>""</f>
        <v/>
      </c>
      <c r="AB265" s="129">
        <v>15</v>
      </c>
      <c r="AC265" s="212">
        <f>'PBL OT 2024'!$F$30/POWER(1.02,7)</f>
        <v>91.56466699232648</v>
      </c>
      <c r="AD265" s="212" t="str">
        <f t="shared" si="47"/>
        <v/>
      </c>
      <c r="AE265" s="212" t="s">
        <v>689</v>
      </c>
      <c r="AF265" s="235">
        <v>45</v>
      </c>
      <c r="AG265" s="129"/>
    </row>
    <row r="266" spans="1:33" ht="15" x14ac:dyDescent="0.25">
      <c r="A266" s="129" t="s">
        <v>337</v>
      </c>
      <c r="B266" s="212">
        <v>123.25700000000001</v>
      </c>
      <c r="C266" s="205">
        <v>70.119299999999996</v>
      </c>
      <c r="D266" s="212"/>
      <c r="E266" s="205">
        <v>105.179</v>
      </c>
      <c r="F266" s="205">
        <v>832.12750000000005</v>
      </c>
      <c r="G266" s="245">
        <f t="shared" si="46"/>
        <v>21.725036127276173</v>
      </c>
      <c r="H266" s="212">
        <v>148.3672</v>
      </c>
      <c r="I266" s="212" t="str">
        <f>""</f>
        <v/>
      </c>
      <c r="J266" s="212"/>
      <c r="K266" s="212">
        <v>0</v>
      </c>
      <c r="L266" s="129">
        <v>4000</v>
      </c>
      <c r="M266" s="129">
        <v>15</v>
      </c>
      <c r="N266" s="203">
        <f t="shared" ref="N266:N271" si="67">MIN($B266,(75*$F266/1000)+$E266)</f>
        <v>123.25700000000001</v>
      </c>
      <c r="O266" s="203">
        <f t="shared" ref="O266:O271" si="68">MIN($B266,(150*$F266/1000)+$E266)</f>
        <v>123.25700000000001</v>
      </c>
      <c r="P266" s="203">
        <f t="shared" ref="P266:P271" si="69">MIN($B266,(225*$F266/1000)+$E266)</f>
        <v>123.25700000000001</v>
      </c>
      <c r="Q266" s="203">
        <f t="shared" si="52"/>
        <v>123.25700000000001</v>
      </c>
      <c r="R266" s="129" t="s">
        <v>327</v>
      </c>
      <c r="S266" s="129" t="str">
        <f>""</f>
        <v/>
      </c>
      <c r="T266" s="129" t="s">
        <v>299</v>
      </c>
      <c r="U266" s="129" t="s">
        <v>300</v>
      </c>
      <c r="V266" s="129" t="s">
        <v>301</v>
      </c>
      <c r="W266" s="129" t="s">
        <v>328</v>
      </c>
      <c r="X266" s="129" t="s">
        <v>329</v>
      </c>
      <c r="Y266" s="129" t="s">
        <v>330</v>
      </c>
      <c r="Z266" s="129" t="s">
        <v>304</v>
      </c>
      <c r="AA266" s="129" t="str">
        <f>""</f>
        <v/>
      </c>
      <c r="AB266" s="129">
        <v>15</v>
      </c>
      <c r="AC266" s="212">
        <f>'PBL OT 2024'!$F$30/POWER(1.02,7)</f>
        <v>91.56466699232648</v>
      </c>
      <c r="AD266" s="212" t="str">
        <f t="shared" si="47"/>
        <v/>
      </c>
      <c r="AE266" s="212" t="s">
        <v>689</v>
      </c>
      <c r="AF266" s="235">
        <v>45</v>
      </c>
      <c r="AG266" s="129"/>
    </row>
    <row r="267" spans="1:33" ht="15" x14ac:dyDescent="0.25">
      <c r="A267" s="129" t="s">
        <v>532</v>
      </c>
      <c r="B267" s="212">
        <v>129.1138</v>
      </c>
      <c r="C267" s="205">
        <v>70.119299999999996</v>
      </c>
      <c r="D267" s="212"/>
      <c r="E267" s="205">
        <v>105.179</v>
      </c>
      <c r="F267" s="205">
        <v>834.36</v>
      </c>
      <c r="G267" s="245">
        <f t="shared" si="46"/>
        <v>28.686418332614213</v>
      </c>
      <c r="H267" s="212">
        <v>148.3672</v>
      </c>
      <c r="I267" s="212" t="str">
        <f>""</f>
        <v/>
      </c>
      <c r="J267" s="212"/>
      <c r="K267" s="212">
        <v>0</v>
      </c>
      <c r="L267" s="129">
        <v>4000</v>
      </c>
      <c r="M267" s="129">
        <v>15</v>
      </c>
      <c r="N267" s="203">
        <f t="shared" si="67"/>
        <v>129.1138</v>
      </c>
      <c r="O267" s="203">
        <f t="shared" si="68"/>
        <v>129.1138</v>
      </c>
      <c r="P267" s="203">
        <f t="shared" si="69"/>
        <v>129.1138</v>
      </c>
      <c r="Q267" s="203">
        <f t="shared" si="52"/>
        <v>129.1138</v>
      </c>
      <c r="R267" s="129" t="s">
        <v>327</v>
      </c>
      <c r="S267" s="129" t="str">
        <f>""</f>
        <v/>
      </c>
      <c r="T267" s="129" t="s">
        <v>299</v>
      </c>
      <c r="U267" s="129" t="s">
        <v>300</v>
      </c>
      <c r="V267" s="129" t="s">
        <v>301</v>
      </c>
      <c r="W267" s="129" t="s">
        <v>328</v>
      </c>
      <c r="X267" s="129" t="s">
        <v>329</v>
      </c>
      <c r="Y267" s="129" t="s">
        <v>330</v>
      </c>
      <c r="Z267" s="129" t="s">
        <v>304</v>
      </c>
      <c r="AA267" s="129" t="str">
        <f>""</f>
        <v/>
      </c>
      <c r="AB267" s="129">
        <v>15</v>
      </c>
      <c r="AC267" s="212">
        <f>'PBL OT 2024'!$F$30/POWER(1.02,7)</f>
        <v>91.56466699232648</v>
      </c>
      <c r="AD267" s="212" t="str">
        <f t="shared" si="47"/>
        <v/>
      </c>
      <c r="AE267" s="212" t="s">
        <v>689</v>
      </c>
      <c r="AF267" s="235">
        <v>45</v>
      </c>
      <c r="AG267" s="129"/>
    </row>
    <row r="268" spans="1:33" ht="15" x14ac:dyDescent="0.25">
      <c r="A268" s="129" t="s">
        <v>338</v>
      </c>
      <c r="B268" s="212">
        <v>230.7191</v>
      </c>
      <c r="C268" s="205">
        <v>70.119299999999996</v>
      </c>
      <c r="D268" s="212"/>
      <c r="E268" s="205">
        <v>105.179</v>
      </c>
      <c r="F268" s="205">
        <v>751.69</v>
      </c>
      <c r="G268" s="245">
        <f t="shared" si="46"/>
        <v>167.01046974151575</v>
      </c>
      <c r="H268" s="212">
        <v>148.3672</v>
      </c>
      <c r="I268" s="212" t="str">
        <f>""</f>
        <v/>
      </c>
      <c r="J268" s="212"/>
      <c r="K268" s="212">
        <v>0</v>
      </c>
      <c r="L268" s="129">
        <v>4000</v>
      </c>
      <c r="M268" s="129">
        <v>15</v>
      </c>
      <c r="N268" s="203">
        <f t="shared" si="67"/>
        <v>161.55575000000002</v>
      </c>
      <c r="O268" s="203">
        <f t="shared" si="68"/>
        <v>217.9325</v>
      </c>
      <c r="P268" s="203">
        <f t="shared" si="69"/>
        <v>230.7191</v>
      </c>
      <c r="Q268" s="203">
        <f t="shared" si="52"/>
        <v>230.7191</v>
      </c>
      <c r="R268" s="129" t="s">
        <v>327</v>
      </c>
      <c r="S268" s="129" t="str">
        <f>""</f>
        <v/>
      </c>
      <c r="T268" s="129" t="s">
        <v>299</v>
      </c>
      <c r="U268" s="129" t="s">
        <v>300</v>
      </c>
      <c r="V268" s="129" t="s">
        <v>301</v>
      </c>
      <c r="W268" s="129" t="s">
        <v>328</v>
      </c>
      <c r="X268" s="129" t="s">
        <v>329</v>
      </c>
      <c r="Y268" s="129" t="s">
        <v>330</v>
      </c>
      <c r="Z268" s="129" t="s">
        <v>304</v>
      </c>
      <c r="AA268" s="129" t="str">
        <f>""</f>
        <v/>
      </c>
      <c r="AB268" s="129">
        <v>15</v>
      </c>
      <c r="AC268" s="212">
        <f>'PBL OT 2024'!$F$30/POWER(1.02,7)</f>
        <v>91.56466699232648</v>
      </c>
      <c r="AD268" s="212" t="str">
        <f t="shared" si="47"/>
        <v/>
      </c>
      <c r="AE268" s="212" t="s">
        <v>689</v>
      </c>
      <c r="AF268" s="235">
        <v>45</v>
      </c>
      <c r="AG268" s="129"/>
    </row>
    <row r="269" spans="1:33" ht="15" x14ac:dyDescent="0.25">
      <c r="A269" s="129" t="s">
        <v>339</v>
      </c>
      <c r="B269" s="212">
        <v>200.45349999999999</v>
      </c>
      <c r="C269" s="205">
        <v>70.119299999999996</v>
      </c>
      <c r="D269" s="212"/>
      <c r="E269" s="205">
        <v>105.179</v>
      </c>
      <c r="F269" s="205">
        <v>767.44</v>
      </c>
      <c r="G269" s="245">
        <f t="shared" si="46"/>
        <v>124.14586156572499</v>
      </c>
      <c r="H269" s="212">
        <v>148.3672</v>
      </c>
      <c r="I269" s="212" t="str">
        <f>""</f>
        <v/>
      </c>
      <c r="J269" s="212"/>
      <c r="K269" s="212">
        <v>0</v>
      </c>
      <c r="L269" s="129">
        <v>4000</v>
      </c>
      <c r="M269" s="129">
        <v>15</v>
      </c>
      <c r="N269" s="203">
        <f t="shared" si="67"/>
        <v>162.73700000000002</v>
      </c>
      <c r="O269" s="203">
        <f t="shared" si="68"/>
        <v>200.45349999999999</v>
      </c>
      <c r="P269" s="203">
        <f t="shared" si="69"/>
        <v>200.45349999999999</v>
      </c>
      <c r="Q269" s="203">
        <f t="shared" si="52"/>
        <v>200.45349999999999</v>
      </c>
      <c r="R269" s="129" t="s">
        <v>327</v>
      </c>
      <c r="S269" s="129" t="str">
        <f>""</f>
        <v/>
      </c>
      <c r="T269" s="129" t="s">
        <v>299</v>
      </c>
      <c r="U269" s="129" t="s">
        <v>300</v>
      </c>
      <c r="V269" s="129" t="s">
        <v>301</v>
      </c>
      <c r="W269" s="129" t="s">
        <v>328</v>
      </c>
      <c r="X269" s="129" t="s">
        <v>329</v>
      </c>
      <c r="Y269" s="129" t="s">
        <v>330</v>
      </c>
      <c r="Z269" s="129" t="s">
        <v>304</v>
      </c>
      <c r="AA269" s="129" t="str">
        <f>""</f>
        <v/>
      </c>
      <c r="AB269" s="129">
        <v>15</v>
      </c>
      <c r="AC269" s="212">
        <f>'PBL OT 2024'!$F$30/POWER(1.02,7)</f>
        <v>91.56466699232648</v>
      </c>
      <c r="AD269" s="212" t="str">
        <f t="shared" si="47"/>
        <v/>
      </c>
      <c r="AE269" s="212" t="s">
        <v>689</v>
      </c>
      <c r="AF269" s="235">
        <v>45</v>
      </c>
      <c r="AG269" s="129"/>
    </row>
    <row r="270" spans="1:33" ht="15" x14ac:dyDescent="0.25">
      <c r="A270" s="129" t="s">
        <v>920</v>
      </c>
      <c r="B270" s="212">
        <v>267.42500000000001</v>
      </c>
      <c r="C270" s="205">
        <v>70.119299999999996</v>
      </c>
      <c r="D270" s="212"/>
      <c r="E270" s="205">
        <v>105.179</v>
      </c>
      <c r="F270" s="205">
        <v>671.14</v>
      </c>
      <c r="G270" s="245">
        <f t="shared" si="46"/>
        <v>241.74687844562982</v>
      </c>
      <c r="H270" s="212">
        <v>148.3672</v>
      </c>
      <c r="I270" s="212" t="str">
        <f>""</f>
        <v/>
      </c>
      <c r="J270" s="212"/>
      <c r="K270" s="212">
        <v>0</v>
      </c>
      <c r="L270" s="129">
        <v>4000</v>
      </c>
      <c r="M270" s="129">
        <v>15</v>
      </c>
      <c r="N270" s="203">
        <f t="shared" si="67"/>
        <v>155.5145</v>
      </c>
      <c r="O270" s="203">
        <f t="shared" si="68"/>
        <v>205.85000000000002</v>
      </c>
      <c r="P270" s="203">
        <f t="shared" si="69"/>
        <v>256.18549999999999</v>
      </c>
      <c r="Q270" s="203">
        <f t="shared" si="52"/>
        <v>267.42500000000001</v>
      </c>
      <c r="R270" s="129" t="s">
        <v>327</v>
      </c>
      <c r="S270" s="129" t="str">
        <f>""</f>
        <v/>
      </c>
      <c r="T270" s="129" t="s">
        <v>299</v>
      </c>
      <c r="U270" s="129" t="s">
        <v>300</v>
      </c>
      <c r="V270" s="129" t="s">
        <v>301</v>
      </c>
      <c r="W270" s="129" t="s">
        <v>328</v>
      </c>
      <c r="X270" s="129" t="s">
        <v>329</v>
      </c>
      <c r="Y270" s="129" t="s">
        <v>330</v>
      </c>
      <c r="Z270" s="129" t="s">
        <v>304</v>
      </c>
      <c r="AA270" s="129" t="str">
        <f>""</f>
        <v/>
      </c>
      <c r="AB270" s="129">
        <v>15</v>
      </c>
      <c r="AC270" s="212">
        <f>'PBL OT 2024'!$F$30/POWER(1.02,7)</f>
        <v>91.56466699232648</v>
      </c>
      <c r="AD270" s="212" t="str">
        <f t="shared" si="47"/>
        <v/>
      </c>
      <c r="AE270" s="212" t="s">
        <v>689</v>
      </c>
      <c r="AF270" s="235">
        <v>45</v>
      </c>
      <c r="AG270" s="129"/>
    </row>
    <row r="271" spans="1:33" ht="15" x14ac:dyDescent="0.25">
      <c r="A271" s="129" t="s">
        <v>919</v>
      </c>
      <c r="B271" s="212">
        <v>179.815</v>
      </c>
      <c r="C271" s="205">
        <v>70.119299999999996</v>
      </c>
      <c r="D271" s="212"/>
      <c r="E271" s="205">
        <v>105.179</v>
      </c>
      <c r="F271" s="205">
        <v>753.9</v>
      </c>
      <c r="G271" s="245">
        <f t="shared" si="46"/>
        <v>98.999867356413318</v>
      </c>
      <c r="H271" s="212">
        <v>148.3672</v>
      </c>
      <c r="I271" s="212" t="str">
        <f>""</f>
        <v/>
      </c>
      <c r="J271" s="212"/>
      <c r="K271" s="212">
        <v>0</v>
      </c>
      <c r="L271" s="129">
        <v>4000</v>
      </c>
      <c r="M271" s="129">
        <v>15</v>
      </c>
      <c r="N271" s="203">
        <f t="shared" si="67"/>
        <v>161.72149999999999</v>
      </c>
      <c r="O271" s="203">
        <f t="shared" si="68"/>
        <v>179.815</v>
      </c>
      <c r="P271" s="203">
        <f t="shared" si="69"/>
        <v>179.815</v>
      </c>
      <c r="Q271" s="203">
        <f t="shared" si="52"/>
        <v>179.815</v>
      </c>
      <c r="R271" s="129" t="s">
        <v>327</v>
      </c>
      <c r="S271" s="129" t="str">
        <f>""</f>
        <v/>
      </c>
      <c r="T271" s="129" t="s">
        <v>299</v>
      </c>
      <c r="U271" s="129" t="s">
        <v>300</v>
      </c>
      <c r="V271" s="129" t="s">
        <v>301</v>
      </c>
      <c r="W271" s="129" t="s">
        <v>328</v>
      </c>
      <c r="X271" s="129" t="s">
        <v>329</v>
      </c>
      <c r="Y271" s="129" t="s">
        <v>330</v>
      </c>
      <c r="Z271" s="129" t="s">
        <v>304</v>
      </c>
      <c r="AA271" s="129" t="str">
        <f>""</f>
        <v/>
      </c>
      <c r="AB271" s="129">
        <v>15</v>
      </c>
      <c r="AC271" s="212">
        <f>'PBL OT 2024'!$F$30/POWER(1.02,7)</f>
        <v>91.56466699232648</v>
      </c>
      <c r="AD271" s="212" t="str">
        <f t="shared" si="47"/>
        <v/>
      </c>
      <c r="AE271" s="212" t="s">
        <v>689</v>
      </c>
      <c r="AF271" s="235">
        <v>45</v>
      </c>
      <c r="AG271" s="129"/>
    </row>
    <row r="272" spans="1:33" ht="15" x14ac:dyDescent="0.25">
      <c r="A272" s="129"/>
      <c r="B272" s="212"/>
      <c r="C272" s="205"/>
      <c r="D272" s="212"/>
      <c r="E272" s="205"/>
      <c r="F272" s="205"/>
      <c r="G272" s="245"/>
      <c r="H272" s="212"/>
      <c r="I272" s="212"/>
      <c r="J272" s="212"/>
      <c r="K272" s="212"/>
      <c r="L272" s="129"/>
      <c r="M272" s="129"/>
      <c r="N272" s="203"/>
      <c r="O272" s="203"/>
      <c r="P272" s="203"/>
      <c r="Q272" s="203"/>
      <c r="R272" s="129"/>
      <c r="S272" s="129"/>
      <c r="T272" s="129"/>
      <c r="U272" s="129"/>
      <c r="V272" s="129"/>
      <c r="W272" s="129"/>
      <c r="X272" s="129"/>
      <c r="Y272" s="129"/>
      <c r="Z272" s="129"/>
      <c r="AA272" s="129"/>
      <c r="AB272" s="129"/>
      <c r="AC272" s="240"/>
      <c r="AD272" s="212"/>
      <c r="AE272" s="212"/>
      <c r="AF272" s="235"/>
      <c r="AG272" s="129"/>
    </row>
    <row r="273" spans="1:33" ht="15" x14ac:dyDescent="0.25">
      <c r="A273" s="206" t="s">
        <v>163</v>
      </c>
      <c r="B273" s="212"/>
      <c r="C273" s="205"/>
      <c r="D273" s="212"/>
      <c r="E273" s="205"/>
      <c r="F273" s="205"/>
      <c r="G273" s="245"/>
      <c r="H273" s="212"/>
      <c r="I273" s="212"/>
      <c r="J273" s="212"/>
      <c r="K273" s="212"/>
      <c r="L273" s="129"/>
      <c r="M273" s="129"/>
      <c r="N273" s="203"/>
      <c r="O273" s="203"/>
      <c r="P273" s="203"/>
      <c r="Q273" s="203"/>
      <c r="R273" s="129"/>
      <c r="S273" s="129"/>
      <c r="T273" s="129"/>
      <c r="U273" s="129"/>
      <c r="V273" s="129"/>
      <c r="W273" s="129"/>
      <c r="X273" s="129"/>
      <c r="Y273" s="129"/>
      <c r="Z273" s="129"/>
      <c r="AA273" s="129"/>
      <c r="AB273" s="129"/>
      <c r="AC273" s="240"/>
      <c r="AD273" s="212"/>
      <c r="AE273" s="212"/>
      <c r="AF273" s="235"/>
      <c r="AG273" s="129"/>
    </row>
    <row r="274" spans="1:33" ht="15" x14ac:dyDescent="0.25">
      <c r="A274" s="129" t="s">
        <v>340</v>
      </c>
      <c r="B274" s="212">
        <v>6.0999999999999999E-2</v>
      </c>
      <c r="C274" s="205">
        <v>2.4E-2</v>
      </c>
      <c r="D274" s="212"/>
      <c r="E274" s="205">
        <v>5.79E-2</v>
      </c>
      <c r="F274" s="205">
        <v>0.18790000000000001</v>
      </c>
      <c r="G274" s="245">
        <f t="shared" ref="G274:G303" si="70">(B274-E274)*1000/F274</f>
        <v>16.498137307078224</v>
      </c>
      <c r="H274" s="212">
        <v>5.6000000000000001E-2</v>
      </c>
      <c r="I274" s="212" t="str">
        <f>""</f>
        <v/>
      </c>
      <c r="J274" s="212"/>
      <c r="K274" s="212">
        <v>1.32E-2</v>
      </c>
      <c r="L274" s="129">
        <v>8000</v>
      </c>
      <c r="M274" s="129">
        <v>12</v>
      </c>
      <c r="N274" s="203">
        <f>MIN($B274,(75*$F274/1000)+$E274)</f>
        <v>6.0999999999999999E-2</v>
      </c>
      <c r="O274" s="203">
        <f>MIN($B274,(150*$F274/1000)+$E274)</f>
        <v>6.0999999999999999E-2</v>
      </c>
      <c r="P274" s="203">
        <f>MIN($B274,(225*$F274/1000)+$E274)</f>
        <v>6.0999999999999999E-2</v>
      </c>
      <c r="Q274" s="203">
        <f t="shared" si="52"/>
        <v>6.0999999999999999E-2</v>
      </c>
      <c r="R274" s="129" t="s">
        <v>195</v>
      </c>
      <c r="S274" s="129" t="str">
        <f>""</f>
        <v/>
      </c>
      <c r="T274" s="129" t="s">
        <v>196</v>
      </c>
      <c r="U274" s="129" t="s">
        <v>197</v>
      </c>
      <c r="V274" s="129" t="s">
        <v>198</v>
      </c>
      <c r="W274" s="129" t="s">
        <v>341</v>
      </c>
      <c r="X274" s="129" t="s">
        <v>206</v>
      </c>
      <c r="Y274" s="129" t="s">
        <v>257</v>
      </c>
      <c r="Z274" s="129" t="s">
        <v>202</v>
      </c>
      <c r="AA274" s="129" t="s">
        <v>342</v>
      </c>
      <c r="AB274" s="129">
        <v>12</v>
      </c>
      <c r="AC274" s="212">
        <f>'PBL OT 2024'!$F$12/POWER(1.02,7)</f>
        <v>3.1295046784292957E-2</v>
      </c>
      <c r="AD274" s="212" t="str">
        <f t="shared" ref="AD274:AD303" si="71">IF(AC274&lt;B274,"",FALSE)</f>
        <v/>
      </c>
      <c r="AE274" s="212" t="s">
        <v>687</v>
      </c>
      <c r="AF274" s="235">
        <v>17</v>
      </c>
      <c r="AG274" s="129"/>
    </row>
    <row r="275" spans="1:33" ht="15" x14ac:dyDescent="0.25">
      <c r="A275" s="129" t="s">
        <v>343</v>
      </c>
      <c r="B275" s="212">
        <v>0.1065</v>
      </c>
      <c r="C275" s="205">
        <v>2.4E-2</v>
      </c>
      <c r="D275" s="212"/>
      <c r="E275" s="205">
        <v>5.79E-2</v>
      </c>
      <c r="F275" s="205">
        <v>0.18790000000000001</v>
      </c>
      <c r="G275" s="245">
        <f t="shared" si="70"/>
        <v>258.64821713677486</v>
      </c>
      <c r="H275" s="212">
        <v>5.6000000000000001E-2</v>
      </c>
      <c r="I275" s="212" t="str">
        <f>""</f>
        <v/>
      </c>
      <c r="J275" s="212"/>
      <c r="K275" s="212">
        <v>1.32E-2</v>
      </c>
      <c r="L275" s="129">
        <v>3000</v>
      </c>
      <c r="M275" s="129">
        <v>12</v>
      </c>
      <c r="N275" s="203">
        <f t="shared" ref="N275:N279" si="72">MIN($B275,(75*$F275/1000)+$E275)</f>
        <v>7.1992500000000001E-2</v>
      </c>
      <c r="O275" s="203">
        <f t="shared" ref="O275:O279" si="73">MIN($B275,(150*$F275/1000)+$E275)</f>
        <v>8.6084999999999995E-2</v>
      </c>
      <c r="P275" s="203">
        <f t="shared" ref="P275:P279" si="74">MIN($B275,(225*$F275/1000)+$E275)</f>
        <v>0.1001775</v>
      </c>
      <c r="Q275" s="203">
        <f t="shared" si="52"/>
        <v>0.1065</v>
      </c>
      <c r="R275" s="129" t="s">
        <v>195</v>
      </c>
      <c r="S275" s="129" t="str">
        <f>""</f>
        <v/>
      </c>
      <c r="T275" s="129" t="s">
        <v>196</v>
      </c>
      <c r="U275" s="129" t="s">
        <v>197</v>
      </c>
      <c r="V275" s="129" t="s">
        <v>198</v>
      </c>
      <c r="W275" s="129" t="s">
        <v>341</v>
      </c>
      <c r="X275" s="129" t="s">
        <v>206</v>
      </c>
      <c r="Y275" s="129" t="s">
        <v>257</v>
      </c>
      <c r="Z275" s="129" t="s">
        <v>202</v>
      </c>
      <c r="AA275" s="129" t="s">
        <v>344</v>
      </c>
      <c r="AB275" s="129">
        <v>12</v>
      </c>
      <c r="AC275" s="212">
        <f>'PBL OT 2024'!$F$12/POWER(1.02,7)</f>
        <v>3.1295046784292957E-2</v>
      </c>
      <c r="AD275" s="212" t="str">
        <f t="shared" si="71"/>
        <v/>
      </c>
      <c r="AE275" s="212" t="s">
        <v>687</v>
      </c>
      <c r="AF275" s="235">
        <v>17</v>
      </c>
      <c r="AG275" s="129"/>
    </row>
    <row r="276" spans="1:33" ht="15" x14ac:dyDescent="0.25">
      <c r="A276" s="129" t="s">
        <v>345</v>
      </c>
      <c r="B276" s="212">
        <v>3.1899999999999998E-2</v>
      </c>
      <c r="C276" s="205">
        <v>2.4E-2</v>
      </c>
      <c r="D276" s="212"/>
      <c r="E276" s="205">
        <v>6.4600000000000005E-2</v>
      </c>
      <c r="F276" s="205">
        <v>0.2157</v>
      </c>
      <c r="G276" s="245">
        <f t="shared" si="70"/>
        <v>-151.59944367176638</v>
      </c>
      <c r="H276" s="212">
        <v>5.6000000000000001E-2</v>
      </c>
      <c r="I276" s="212" t="str">
        <f>""</f>
        <v/>
      </c>
      <c r="J276" s="212"/>
      <c r="K276" s="212">
        <v>1.72E-2</v>
      </c>
      <c r="L276" s="129">
        <v>8000</v>
      </c>
      <c r="M276" s="129">
        <v>12</v>
      </c>
      <c r="N276" s="203">
        <f t="shared" si="72"/>
        <v>3.1899999999999998E-2</v>
      </c>
      <c r="O276" s="203">
        <f t="shared" si="73"/>
        <v>3.1899999999999998E-2</v>
      </c>
      <c r="P276" s="203">
        <f t="shared" si="74"/>
        <v>3.1899999999999998E-2</v>
      </c>
      <c r="Q276" s="203">
        <f t="shared" si="52"/>
        <v>3.1899999999999998E-2</v>
      </c>
      <c r="R276" s="129" t="s">
        <v>195</v>
      </c>
      <c r="S276" s="129" t="str">
        <f>""</f>
        <v/>
      </c>
      <c r="T276" s="129" t="s">
        <v>196</v>
      </c>
      <c r="U276" s="129" t="s">
        <v>197</v>
      </c>
      <c r="V276" s="129" t="s">
        <v>198</v>
      </c>
      <c r="W276" s="129" t="s">
        <v>346</v>
      </c>
      <c r="X276" s="129" t="s">
        <v>206</v>
      </c>
      <c r="Y276" s="129" t="s">
        <v>257</v>
      </c>
      <c r="Z276" s="129" t="s">
        <v>202</v>
      </c>
      <c r="AA276" s="129" t="s">
        <v>347</v>
      </c>
      <c r="AB276" s="129">
        <v>12</v>
      </c>
      <c r="AC276" s="212">
        <f>'PBL OT 2024'!$F$12/POWER(1.02,7)</f>
        <v>3.1295046784292957E-2</v>
      </c>
      <c r="AD276" s="212" t="str">
        <f t="shared" si="71"/>
        <v/>
      </c>
      <c r="AE276" s="212" t="s">
        <v>687</v>
      </c>
      <c r="AF276" s="235">
        <v>17</v>
      </c>
      <c r="AG276" s="129"/>
    </row>
    <row r="277" spans="1:33" ht="15" x14ac:dyDescent="0.25">
      <c r="A277" s="129" t="s">
        <v>348</v>
      </c>
      <c r="B277" s="212">
        <v>7.0999999999999994E-2</v>
      </c>
      <c r="C277" s="205">
        <v>2.4E-2</v>
      </c>
      <c r="D277" s="212"/>
      <c r="E277" s="205">
        <v>6.4600000000000005E-2</v>
      </c>
      <c r="F277" s="205">
        <v>0.2157</v>
      </c>
      <c r="G277" s="245">
        <f t="shared" si="70"/>
        <v>29.670839128419047</v>
      </c>
      <c r="H277" s="212">
        <v>5.6000000000000001E-2</v>
      </c>
      <c r="I277" s="212" t="str">
        <f>""</f>
        <v/>
      </c>
      <c r="J277" s="212"/>
      <c r="K277" s="212">
        <v>1.72E-2</v>
      </c>
      <c r="L277" s="129">
        <v>3000</v>
      </c>
      <c r="M277" s="129">
        <v>12</v>
      </c>
      <c r="N277" s="203">
        <f t="shared" si="72"/>
        <v>7.0999999999999994E-2</v>
      </c>
      <c r="O277" s="203">
        <f t="shared" si="73"/>
        <v>7.0999999999999994E-2</v>
      </c>
      <c r="P277" s="203">
        <f t="shared" si="74"/>
        <v>7.0999999999999994E-2</v>
      </c>
      <c r="Q277" s="203">
        <f t="shared" si="52"/>
        <v>7.0999999999999994E-2</v>
      </c>
      <c r="R277" s="129" t="s">
        <v>195</v>
      </c>
      <c r="S277" s="129" t="str">
        <f>""</f>
        <v/>
      </c>
      <c r="T277" s="129" t="s">
        <v>196</v>
      </c>
      <c r="U277" s="129" t="s">
        <v>197</v>
      </c>
      <c r="V277" s="129" t="s">
        <v>198</v>
      </c>
      <c r="W277" s="129" t="s">
        <v>346</v>
      </c>
      <c r="X277" s="129" t="s">
        <v>206</v>
      </c>
      <c r="Y277" s="129" t="s">
        <v>257</v>
      </c>
      <c r="Z277" s="129" t="s">
        <v>202</v>
      </c>
      <c r="AA277" s="129" t="s">
        <v>349</v>
      </c>
      <c r="AB277" s="129">
        <v>12</v>
      </c>
      <c r="AC277" s="212">
        <f>'PBL OT 2024'!$F$12/POWER(1.02,7)</f>
        <v>3.1295046784292957E-2</v>
      </c>
      <c r="AD277" s="212" t="str">
        <f t="shared" si="71"/>
        <v/>
      </c>
      <c r="AE277" s="212" t="s">
        <v>687</v>
      </c>
      <c r="AF277" s="235">
        <v>17</v>
      </c>
      <c r="AG277" s="129"/>
    </row>
    <row r="278" spans="1:33" ht="15" x14ac:dyDescent="0.25">
      <c r="A278" s="129" t="s">
        <v>734</v>
      </c>
      <c r="B278" s="212">
        <v>6.2300000000000001E-2</v>
      </c>
      <c r="C278" s="205">
        <v>2.4E-2</v>
      </c>
      <c r="D278" s="212"/>
      <c r="E278" s="205">
        <v>5.79E-2</v>
      </c>
      <c r="F278" s="205">
        <v>0.18790000000000001</v>
      </c>
      <c r="G278" s="245">
        <f t="shared" si="70"/>
        <v>23.416711016498141</v>
      </c>
      <c r="H278" s="212">
        <v>5.6000000000000001E-2</v>
      </c>
      <c r="I278" s="212"/>
      <c r="J278" s="212"/>
      <c r="K278" s="212">
        <v>1.32E-2</v>
      </c>
      <c r="L278" s="129">
        <v>8000</v>
      </c>
      <c r="M278" s="129">
        <v>12</v>
      </c>
      <c r="N278" s="203">
        <f t="shared" si="72"/>
        <v>6.2300000000000001E-2</v>
      </c>
      <c r="O278" s="203">
        <f t="shared" si="73"/>
        <v>6.2300000000000001E-2</v>
      </c>
      <c r="P278" s="203">
        <f t="shared" si="74"/>
        <v>6.2300000000000001E-2</v>
      </c>
      <c r="Q278" s="203">
        <f t="shared" si="52"/>
        <v>6.2300000000000001E-2</v>
      </c>
      <c r="R278" s="129" t="s">
        <v>195</v>
      </c>
      <c r="S278" s="129"/>
      <c r="T278" s="129" t="s">
        <v>196</v>
      </c>
      <c r="U278" s="129" t="s">
        <v>197</v>
      </c>
      <c r="V278" s="129" t="s">
        <v>198</v>
      </c>
      <c r="W278" s="129" t="s">
        <v>894</v>
      </c>
      <c r="X278" s="129" t="s">
        <v>206</v>
      </c>
      <c r="Y278" s="129" t="s">
        <v>257</v>
      </c>
      <c r="Z278" s="129" t="s">
        <v>202</v>
      </c>
      <c r="AA278" s="129" t="s">
        <v>917</v>
      </c>
      <c r="AB278" s="129">
        <v>12</v>
      </c>
      <c r="AC278" s="212">
        <f>'PBL OT 2024'!$F$12/POWER(1.02,7)</f>
        <v>3.1295046784292957E-2</v>
      </c>
      <c r="AD278" s="212" t="str">
        <f t="shared" si="71"/>
        <v/>
      </c>
      <c r="AE278" s="212" t="s">
        <v>687</v>
      </c>
      <c r="AF278" s="235">
        <v>17</v>
      </c>
      <c r="AG278" s="129"/>
    </row>
    <row r="279" spans="1:33" ht="15" x14ac:dyDescent="0.25">
      <c r="A279" s="129" t="s">
        <v>735</v>
      </c>
      <c r="B279" s="212">
        <v>0.1095</v>
      </c>
      <c r="C279" s="205">
        <v>2.4E-2</v>
      </c>
      <c r="D279" s="212"/>
      <c r="E279" s="205">
        <v>5.79E-2</v>
      </c>
      <c r="F279" s="205">
        <v>0.18790000000000001</v>
      </c>
      <c r="G279" s="245">
        <f t="shared" si="70"/>
        <v>274.61415646620543</v>
      </c>
      <c r="H279" s="212">
        <v>5.6000000000000001E-2</v>
      </c>
      <c r="I279" s="212"/>
      <c r="J279" s="212"/>
      <c r="K279" s="212">
        <v>1.32E-2</v>
      </c>
      <c r="L279" s="129">
        <v>3000</v>
      </c>
      <c r="M279" s="129">
        <v>12</v>
      </c>
      <c r="N279" s="203">
        <f t="shared" si="72"/>
        <v>7.1992500000000001E-2</v>
      </c>
      <c r="O279" s="203">
        <f t="shared" si="73"/>
        <v>8.6084999999999995E-2</v>
      </c>
      <c r="P279" s="203">
        <f t="shared" si="74"/>
        <v>0.1001775</v>
      </c>
      <c r="Q279" s="203">
        <f t="shared" si="52"/>
        <v>0.1095</v>
      </c>
      <c r="R279" s="129" t="s">
        <v>195</v>
      </c>
      <c r="S279" s="129"/>
      <c r="T279" s="129" t="s">
        <v>196</v>
      </c>
      <c r="U279" s="129" t="s">
        <v>197</v>
      </c>
      <c r="V279" s="129" t="s">
        <v>198</v>
      </c>
      <c r="W279" s="129" t="s">
        <v>894</v>
      </c>
      <c r="X279" s="129" t="s">
        <v>206</v>
      </c>
      <c r="Y279" s="129" t="s">
        <v>257</v>
      </c>
      <c r="Z279" s="129" t="s">
        <v>202</v>
      </c>
      <c r="AA279" s="129" t="s">
        <v>916</v>
      </c>
      <c r="AB279" s="129">
        <v>12</v>
      </c>
      <c r="AC279" s="212">
        <f>'PBL OT 2024'!$F$12/POWER(1.02,7)</f>
        <v>3.1295046784292957E-2</v>
      </c>
      <c r="AD279" s="212" t="str">
        <f t="shared" si="71"/>
        <v/>
      </c>
      <c r="AE279" s="212" t="s">
        <v>687</v>
      </c>
      <c r="AF279" s="235">
        <v>17</v>
      </c>
      <c r="AG279" s="129"/>
    </row>
    <row r="280" spans="1:33" ht="15" x14ac:dyDescent="0.25">
      <c r="A280" s="129"/>
      <c r="B280" s="212"/>
      <c r="C280" s="205"/>
      <c r="D280" s="212"/>
      <c r="E280" s="205"/>
      <c r="F280" s="205"/>
      <c r="G280" s="245"/>
      <c r="H280" s="212"/>
      <c r="I280" s="212"/>
      <c r="J280" s="212"/>
      <c r="K280" s="212"/>
      <c r="L280" s="129"/>
      <c r="M280" s="129"/>
      <c r="N280" s="203"/>
      <c r="O280" s="203"/>
      <c r="P280" s="203"/>
      <c r="Q280" s="203"/>
      <c r="R280" s="129"/>
      <c r="S280" s="129"/>
      <c r="T280" s="129"/>
      <c r="U280" s="129"/>
      <c r="V280" s="129"/>
      <c r="W280" s="129"/>
      <c r="X280" s="129"/>
      <c r="Y280" s="129"/>
      <c r="Z280" s="129"/>
      <c r="AA280" s="129"/>
      <c r="AB280" s="129"/>
      <c r="AC280" s="240"/>
      <c r="AD280" s="212"/>
      <c r="AE280" s="212"/>
      <c r="AF280" s="236"/>
      <c r="AG280" s="129"/>
    </row>
    <row r="281" spans="1:33" ht="15" x14ac:dyDescent="0.25">
      <c r="A281" s="206" t="s">
        <v>164</v>
      </c>
      <c r="B281" s="212"/>
      <c r="C281" s="205"/>
      <c r="D281" s="212"/>
      <c r="E281" s="205"/>
      <c r="F281" s="205"/>
      <c r="G281" s="245"/>
      <c r="H281" s="212"/>
      <c r="I281" s="212"/>
      <c r="J281" s="212"/>
      <c r="K281" s="212"/>
      <c r="L281" s="129"/>
      <c r="M281" s="129"/>
      <c r="N281" s="203"/>
      <c r="O281" s="203"/>
      <c r="P281" s="203"/>
      <c r="Q281" s="203"/>
      <c r="R281" s="129"/>
      <c r="S281" s="129"/>
      <c r="T281" s="129"/>
      <c r="U281" s="129"/>
      <c r="V281" s="129"/>
      <c r="W281" s="129"/>
      <c r="X281" s="129"/>
      <c r="Y281" s="129"/>
      <c r="Z281" s="129"/>
      <c r="AA281" s="129"/>
      <c r="AB281" s="129"/>
      <c r="AC281" s="240"/>
      <c r="AD281" s="212"/>
      <c r="AE281" s="212"/>
      <c r="AF281" s="236"/>
      <c r="AG281" s="129"/>
    </row>
    <row r="282" spans="1:33" ht="15" x14ac:dyDescent="0.25">
      <c r="A282" s="129" t="s">
        <v>352</v>
      </c>
      <c r="B282" s="212">
        <v>2.6200000000000001E-2</v>
      </c>
      <c r="C282" s="205">
        <v>2.4E-2</v>
      </c>
      <c r="D282" s="212"/>
      <c r="E282" s="205">
        <v>4.5200000000000004E-2</v>
      </c>
      <c r="F282" s="205">
        <v>0.22470000000000001</v>
      </c>
      <c r="G282" s="245">
        <f t="shared" si="70"/>
        <v>-84.557187360925695</v>
      </c>
      <c r="H282" s="212">
        <v>5.6000000000000001E-2</v>
      </c>
      <c r="I282" s="212" t="str">
        <f>""</f>
        <v/>
      </c>
      <c r="J282" s="212"/>
      <c r="K282" s="212">
        <v>5.5999999999999999E-3</v>
      </c>
      <c r="L282" s="129">
        <v>5500</v>
      </c>
      <c r="M282" s="129">
        <v>15</v>
      </c>
      <c r="N282" s="203">
        <f>MIN($B282,(75*$F282/1000)+$E282)</f>
        <v>2.6200000000000001E-2</v>
      </c>
      <c r="O282" s="203">
        <f>MIN($B282,(150*$F282/1000)+$E282)</f>
        <v>2.6200000000000001E-2</v>
      </c>
      <c r="P282" s="203">
        <f>MIN($B282,(225*$F282/1000)+$E282)</f>
        <v>2.6200000000000001E-2</v>
      </c>
      <c r="Q282" s="203">
        <f t="shared" si="52"/>
        <v>2.6200000000000001E-2</v>
      </c>
      <c r="R282" s="129" t="s">
        <v>195</v>
      </c>
      <c r="S282" s="129" t="str">
        <f>""</f>
        <v/>
      </c>
      <c r="T282" s="129" t="s">
        <v>196</v>
      </c>
      <c r="U282" s="129" t="s">
        <v>197</v>
      </c>
      <c r="V282" s="129" t="s">
        <v>198</v>
      </c>
      <c r="W282" s="129" t="s">
        <v>350</v>
      </c>
      <c r="X282" s="129" t="s">
        <v>206</v>
      </c>
      <c r="Y282" s="129" t="s">
        <v>351</v>
      </c>
      <c r="Z282" s="129" t="s">
        <v>202</v>
      </c>
      <c r="AA282" s="129" t="str">
        <f>""</f>
        <v/>
      </c>
      <c r="AB282" s="129">
        <v>15</v>
      </c>
      <c r="AC282" s="212">
        <f>'PBL OT 2024'!$F$12/POWER(1.02,7)</f>
        <v>3.1295046784292957E-2</v>
      </c>
      <c r="AD282" s="212" t="b">
        <f t="shared" si="71"/>
        <v>0</v>
      </c>
      <c r="AE282" s="212" t="s">
        <v>687</v>
      </c>
      <c r="AF282" s="235">
        <v>17</v>
      </c>
      <c r="AG282" s="129"/>
    </row>
    <row r="283" spans="1:33" ht="15" x14ac:dyDescent="0.25">
      <c r="A283" s="129" t="s">
        <v>353</v>
      </c>
      <c r="B283" s="212">
        <v>3.3399999999999999E-2</v>
      </c>
      <c r="C283" s="205">
        <v>2.4E-2</v>
      </c>
      <c r="D283" s="212"/>
      <c r="E283" s="205">
        <v>4.5200000000000004E-2</v>
      </c>
      <c r="F283" s="205">
        <v>0.22450000000000001</v>
      </c>
      <c r="G283" s="245">
        <f t="shared" si="70"/>
        <v>-52.561247216035653</v>
      </c>
      <c r="H283" s="212">
        <v>5.6000000000000001E-2</v>
      </c>
      <c r="I283" s="212" t="str">
        <f>""</f>
        <v/>
      </c>
      <c r="J283" s="212"/>
      <c r="K283" s="212">
        <v>5.5999999999999999E-3</v>
      </c>
      <c r="L283" s="129">
        <v>5500</v>
      </c>
      <c r="M283" s="129">
        <v>15</v>
      </c>
      <c r="N283" s="203">
        <f t="shared" ref="N283:N289" si="75">MIN($B283,(75*$F283/1000)+$E283)</f>
        <v>3.3399999999999999E-2</v>
      </c>
      <c r="O283" s="203">
        <f t="shared" ref="O283:O289" si="76">MIN($B283,(150*$F283/1000)+$E283)</f>
        <v>3.3399999999999999E-2</v>
      </c>
      <c r="P283" s="203">
        <f t="shared" ref="P283:P289" si="77">MIN($B283,(225*$F283/1000)+$E283)</f>
        <v>3.3399999999999999E-2</v>
      </c>
      <c r="Q283" s="203">
        <f t="shared" si="52"/>
        <v>3.3399999999999999E-2</v>
      </c>
      <c r="R283" s="129" t="s">
        <v>195</v>
      </c>
      <c r="S283" s="129" t="str">
        <f>""</f>
        <v/>
      </c>
      <c r="T283" s="129" t="s">
        <v>196</v>
      </c>
      <c r="U283" s="129" t="s">
        <v>197</v>
      </c>
      <c r="V283" s="129" t="s">
        <v>198</v>
      </c>
      <c r="W283" s="129" t="s">
        <v>350</v>
      </c>
      <c r="X283" s="129" t="s">
        <v>206</v>
      </c>
      <c r="Y283" s="129" t="s">
        <v>351</v>
      </c>
      <c r="Z283" s="129" t="s">
        <v>202</v>
      </c>
      <c r="AA283" s="129" t="str">
        <f>""</f>
        <v/>
      </c>
      <c r="AB283" s="129">
        <v>15</v>
      </c>
      <c r="AC283" s="212">
        <f>'PBL OT 2024'!$F$12/POWER(1.02,7)</f>
        <v>3.1295046784292957E-2</v>
      </c>
      <c r="AD283" s="212" t="str">
        <f t="shared" si="71"/>
        <v/>
      </c>
      <c r="AE283" s="212" t="s">
        <v>687</v>
      </c>
      <c r="AF283" s="235">
        <v>17</v>
      </c>
      <c r="AG283" s="129"/>
    </row>
    <row r="284" spans="1:33" ht="15" x14ac:dyDescent="0.25">
      <c r="A284" s="129" t="s">
        <v>354</v>
      </c>
      <c r="B284" s="212">
        <v>4.0500000000000001E-2</v>
      </c>
      <c r="C284" s="205">
        <v>2.4E-2</v>
      </c>
      <c r="D284" s="212"/>
      <c r="E284" s="205">
        <v>4.5200000000000004E-2</v>
      </c>
      <c r="F284" s="205">
        <v>0.22439999999999999</v>
      </c>
      <c r="G284" s="245">
        <f t="shared" si="70"/>
        <v>-20.944741532976842</v>
      </c>
      <c r="H284" s="212">
        <v>5.6000000000000001E-2</v>
      </c>
      <c r="I284" s="212" t="str">
        <f>""</f>
        <v/>
      </c>
      <c r="J284" s="212"/>
      <c r="K284" s="212">
        <v>5.5999999999999999E-3</v>
      </c>
      <c r="L284" s="129">
        <v>5500</v>
      </c>
      <c r="M284" s="129">
        <v>15</v>
      </c>
      <c r="N284" s="203">
        <f t="shared" si="75"/>
        <v>4.0500000000000001E-2</v>
      </c>
      <c r="O284" s="203">
        <f t="shared" si="76"/>
        <v>4.0500000000000001E-2</v>
      </c>
      <c r="P284" s="203">
        <f t="shared" si="77"/>
        <v>4.0500000000000001E-2</v>
      </c>
      <c r="Q284" s="203">
        <f t="shared" si="52"/>
        <v>4.0500000000000001E-2</v>
      </c>
      <c r="R284" s="129" t="s">
        <v>195</v>
      </c>
      <c r="S284" s="129" t="str">
        <f>""</f>
        <v/>
      </c>
      <c r="T284" s="129" t="s">
        <v>196</v>
      </c>
      <c r="U284" s="129" t="s">
        <v>197</v>
      </c>
      <c r="V284" s="129" t="s">
        <v>198</v>
      </c>
      <c r="W284" s="129" t="s">
        <v>350</v>
      </c>
      <c r="X284" s="129" t="s">
        <v>206</v>
      </c>
      <c r="Y284" s="129" t="s">
        <v>351</v>
      </c>
      <c r="Z284" s="129" t="s">
        <v>202</v>
      </c>
      <c r="AA284" s="129" t="str">
        <f>""</f>
        <v/>
      </c>
      <c r="AB284" s="129">
        <v>15</v>
      </c>
      <c r="AC284" s="212">
        <f>'PBL OT 2024'!$F$12/POWER(1.02,7)</f>
        <v>3.1295046784292957E-2</v>
      </c>
      <c r="AD284" s="212" t="str">
        <f t="shared" si="71"/>
        <v/>
      </c>
      <c r="AE284" s="212" t="s">
        <v>687</v>
      </c>
      <c r="AF284" s="235">
        <v>17</v>
      </c>
      <c r="AG284" s="129"/>
    </row>
    <row r="285" spans="1:33" ht="15" x14ac:dyDescent="0.25">
      <c r="A285" s="129" t="s">
        <v>718</v>
      </c>
      <c r="B285" s="212">
        <v>6.7000000000000004E-2</v>
      </c>
      <c r="C285" s="205">
        <v>2.4E-2</v>
      </c>
      <c r="D285" s="212"/>
      <c r="E285" s="205">
        <v>4.2500000000000003E-2</v>
      </c>
      <c r="F285" s="205">
        <v>0.18779999999999999</v>
      </c>
      <c r="G285" s="245">
        <f t="shared" si="70"/>
        <v>130.45793397231097</v>
      </c>
      <c r="H285" s="212">
        <v>5.6000000000000001E-2</v>
      </c>
      <c r="I285" s="212"/>
      <c r="J285" s="212"/>
      <c r="K285" s="212">
        <v>4.0000000000000001E-3</v>
      </c>
      <c r="L285" s="129">
        <v>5500</v>
      </c>
      <c r="M285" s="129">
        <v>15</v>
      </c>
      <c r="N285" s="203">
        <f t="shared" si="75"/>
        <v>5.6585000000000003E-2</v>
      </c>
      <c r="O285" s="203">
        <f t="shared" si="76"/>
        <v>6.7000000000000004E-2</v>
      </c>
      <c r="P285" s="203">
        <f t="shared" si="77"/>
        <v>6.7000000000000004E-2</v>
      </c>
      <c r="Q285" s="203">
        <f t="shared" si="52"/>
        <v>6.7000000000000004E-2</v>
      </c>
      <c r="R285" s="129" t="s">
        <v>195</v>
      </c>
      <c r="S285" s="129"/>
      <c r="T285" s="129"/>
      <c r="U285" s="129"/>
      <c r="V285" s="129"/>
      <c r="W285" s="129"/>
      <c r="X285" s="129"/>
      <c r="Y285" s="129"/>
      <c r="Z285" s="129" t="s">
        <v>202</v>
      </c>
      <c r="AA285" s="129" t="s">
        <v>342</v>
      </c>
      <c r="AB285" s="129">
        <v>15</v>
      </c>
      <c r="AC285" s="212">
        <f>'PBL OT 2024'!$F$12/POWER(1.02,7)</f>
        <v>3.1295046784292957E-2</v>
      </c>
      <c r="AD285" s="212" t="str">
        <f t="shared" si="71"/>
        <v/>
      </c>
      <c r="AE285" s="212"/>
      <c r="AF285" s="235"/>
      <c r="AG285" s="129"/>
    </row>
    <row r="286" spans="1:33" ht="15" x14ac:dyDescent="0.25">
      <c r="A286" s="129" t="s">
        <v>355</v>
      </c>
      <c r="B286" s="212">
        <v>7.4099999999999999E-2</v>
      </c>
      <c r="C286" s="205">
        <v>2.4E-2</v>
      </c>
      <c r="D286" s="212"/>
      <c r="E286" s="205">
        <v>4.2500000000000003E-2</v>
      </c>
      <c r="F286" s="205">
        <v>0.18770000000000001</v>
      </c>
      <c r="G286" s="245">
        <f t="shared" si="70"/>
        <v>168.3537559936068</v>
      </c>
      <c r="H286" s="212">
        <v>5.6000000000000001E-2</v>
      </c>
      <c r="I286" s="212" t="str">
        <f>""</f>
        <v/>
      </c>
      <c r="J286" s="212"/>
      <c r="K286" s="212">
        <v>4.0000000000000001E-3</v>
      </c>
      <c r="L286" s="129">
        <v>5500</v>
      </c>
      <c r="M286" s="129">
        <v>15</v>
      </c>
      <c r="N286" s="203">
        <f t="shared" si="75"/>
        <v>5.6577500000000003E-2</v>
      </c>
      <c r="O286" s="203">
        <f t="shared" si="76"/>
        <v>7.0654999999999996E-2</v>
      </c>
      <c r="P286" s="203">
        <f t="shared" si="77"/>
        <v>7.4099999999999999E-2</v>
      </c>
      <c r="Q286" s="203">
        <f t="shared" si="52"/>
        <v>7.4099999999999999E-2</v>
      </c>
      <c r="R286" s="129" t="s">
        <v>195</v>
      </c>
      <c r="S286" s="129" t="str">
        <f>""</f>
        <v/>
      </c>
      <c r="T286" s="129" t="s">
        <v>196</v>
      </c>
      <c r="U286" s="129" t="s">
        <v>197</v>
      </c>
      <c r="V286" s="129" t="s">
        <v>198</v>
      </c>
      <c r="W286" s="129" t="s">
        <v>356</v>
      </c>
      <c r="X286" s="129" t="s">
        <v>206</v>
      </c>
      <c r="Y286" s="129" t="s">
        <v>351</v>
      </c>
      <c r="Z286" s="129" t="s">
        <v>202</v>
      </c>
      <c r="AA286" s="129" t="s">
        <v>342</v>
      </c>
      <c r="AB286" s="129">
        <v>15</v>
      </c>
      <c r="AC286" s="212">
        <f>'PBL OT 2024'!$F$12/POWER(1.02,7)</f>
        <v>3.1295046784292957E-2</v>
      </c>
      <c r="AD286" s="212" t="str">
        <f t="shared" si="71"/>
        <v/>
      </c>
      <c r="AE286" s="212" t="s">
        <v>687</v>
      </c>
      <c r="AF286" s="235">
        <v>17</v>
      </c>
      <c r="AG286" s="129"/>
    </row>
    <row r="287" spans="1:33" ht="15" x14ac:dyDescent="0.25">
      <c r="A287" s="129" t="s">
        <v>357</v>
      </c>
      <c r="B287" s="212">
        <v>8.1299999999999997E-2</v>
      </c>
      <c r="C287" s="205">
        <v>2.4E-2</v>
      </c>
      <c r="D287" s="212"/>
      <c r="E287" s="205">
        <v>4.2500000000000003E-2</v>
      </c>
      <c r="F287" s="205">
        <v>0.1875</v>
      </c>
      <c r="G287" s="245">
        <f t="shared" si="70"/>
        <v>206.93333333333331</v>
      </c>
      <c r="H287" s="212">
        <v>5.6000000000000001E-2</v>
      </c>
      <c r="I287" s="212" t="str">
        <f>""</f>
        <v/>
      </c>
      <c r="J287" s="212"/>
      <c r="K287" s="212">
        <v>4.0000000000000001E-3</v>
      </c>
      <c r="L287" s="129">
        <v>5500</v>
      </c>
      <c r="M287" s="129">
        <v>15</v>
      </c>
      <c r="N287" s="203">
        <f t="shared" si="75"/>
        <v>5.6562500000000002E-2</v>
      </c>
      <c r="O287" s="203">
        <f t="shared" si="76"/>
        <v>7.0625000000000007E-2</v>
      </c>
      <c r="P287" s="203">
        <f t="shared" si="77"/>
        <v>8.1299999999999997E-2</v>
      </c>
      <c r="Q287" s="203">
        <f t="shared" si="52"/>
        <v>8.1299999999999997E-2</v>
      </c>
      <c r="R287" s="129" t="s">
        <v>195</v>
      </c>
      <c r="S287" s="129" t="str">
        <f>""</f>
        <v/>
      </c>
      <c r="T287" s="129" t="s">
        <v>196</v>
      </c>
      <c r="U287" s="129" t="s">
        <v>197</v>
      </c>
      <c r="V287" s="129" t="s">
        <v>198</v>
      </c>
      <c r="W287" s="129" t="s">
        <v>356</v>
      </c>
      <c r="X287" s="129" t="s">
        <v>206</v>
      </c>
      <c r="Y287" s="129" t="s">
        <v>351</v>
      </c>
      <c r="Z287" s="129" t="s">
        <v>202</v>
      </c>
      <c r="AA287" s="129" t="s">
        <v>342</v>
      </c>
      <c r="AB287" s="129">
        <v>15</v>
      </c>
      <c r="AC287" s="212">
        <f>'PBL OT 2024'!$F$12/POWER(1.02,7)</f>
        <v>3.1295046784292957E-2</v>
      </c>
      <c r="AD287" s="212" t="str">
        <f t="shared" si="71"/>
        <v/>
      </c>
      <c r="AE287" s="212" t="s">
        <v>687</v>
      </c>
      <c r="AF287" s="235">
        <v>17</v>
      </c>
      <c r="AG287" s="129"/>
    </row>
    <row r="288" spans="1:33" ht="15" x14ac:dyDescent="0.25">
      <c r="A288" s="129" t="s">
        <v>358</v>
      </c>
      <c r="B288" s="212">
        <v>8.8400000000000006E-2</v>
      </c>
      <c r="C288" s="205">
        <v>2.4E-2</v>
      </c>
      <c r="D288" s="212"/>
      <c r="E288" s="205">
        <v>4.2500000000000003E-2</v>
      </c>
      <c r="F288" s="205">
        <v>0.18740000000000001</v>
      </c>
      <c r="G288" s="245">
        <f t="shared" si="70"/>
        <v>244.9306296691569</v>
      </c>
      <c r="H288" s="212">
        <v>5.6000000000000001E-2</v>
      </c>
      <c r="I288" s="212" t="str">
        <f>""</f>
        <v/>
      </c>
      <c r="J288" s="212"/>
      <c r="K288" s="212">
        <v>4.0000000000000001E-3</v>
      </c>
      <c r="L288" s="129">
        <v>5500</v>
      </c>
      <c r="M288" s="129">
        <v>15</v>
      </c>
      <c r="N288" s="203">
        <f t="shared" si="75"/>
        <v>5.6555000000000008E-2</v>
      </c>
      <c r="O288" s="203">
        <f t="shared" si="76"/>
        <v>7.0610000000000006E-2</v>
      </c>
      <c r="P288" s="203">
        <f t="shared" si="77"/>
        <v>8.4665000000000004E-2</v>
      </c>
      <c r="Q288" s="203">
        <f t="shared" ref="Q288:Q289" si="78">MIN($B288,(300*$F288/1000)+$E288)</f>
        <v>8.8400000000000006E-2</v>
      </c>
      <c r="R288" s="129" t="s">
        <v>195</v>
      </c>
      <c r="S288" s="129" t="str">
        <f>""</f>
        <v/>
      </c>
      <c r="T288" s="129" t="s">
        <v>196</v>
      </c>
      <c r="U288" s="129" t="s">
        <v>197</v>
      </c>
      <c r="V288" s="129" t="s">
        <v>198</v>
      </c>
      <c r="W288" s="129" t="s">
        <v>356</v>
      </c>
      <c r="X288" s="129" t="s">
        <v>206</v>
      </c>
      <c r="Y288" s="129" t="s">
        <v>351</v>
      </c>
      <c r="Z288" s="129" t="s">
        <v>202</v>
      </c>
      <c r="AA288" s="129" t="s">
        <v>342</v>
      </c>
      <c r="AB288" s="129">
        <v>15</v>
      </c>
      <c r="AC288" s="212">
        <f>'PBL OT 2024'!$F$12/POWER(1.02,7)</f>
        <v>3.1295046784292957E-2</v>
      </c>
      <c r="AD288" s="212" t="str">
        <f t="shared" si="71"/>
        <v/>
      </c>
      <c r="AE288" s="212" t="s">
        <v>687</v>
      </c>
      <c r="AF288" s="235">
        <v>17</v>
      </c>
      <c r="AG288" s="129"/>
    </row>
    <row r="289" spans="1:33" ht="15" x14ac:dyDescent="0.25">
      <c r="A289" s="129" t="s">
        <v>359</v>
      </c>
      <c r="B289" s="212">
        <v>9.5600000000000004E-2</v>
      </c>
      <c r="C289" s="205">
        <v>2.4E-2</v>
      </c>
      <c r="D289" s="212"/>
      <c r="E289" s="205">
        <v>4.2500000000000003E-2</v>
      </c>
      <c r="F289" s="205">
        <v>0.18720000000000001</v>
      </c>
      <c r="G289" s="245">
        <f t="shared" si="70"/>
        <v>283.65384615384613</v>
      </c>
      <c r="H289" s="212">
        <v>5.6000000000000001E-2</v>
      </c>
      <c r="I289" s="212" t="str">
        <f>""</f>
        <v/>
      </c>
      <c r="J289" s="212"/>
      <c r="K289" s="212">
        <v>4.0000000000000001E-3</v>
      </c>
      <c r="L289" s="129">
        <v>5500</v>
      </c>
      <c r="M289" s="129">
        <v>15</v>
      </c>
      <c r="N289" s="203">
        <f t="shared" si="75"/>
        <v>5.6540000000000007E-2</v>
      </c>
      <c r="O289" s="203">
        <f t="shared" si="76"/>
        <v>7.0580000000000004E-2</v>
      </c>
      <c r="P289" s="203">
        <f t="shared" si="77"/>
        <v>8.4620000000000001E-2</v>
      </c>
      <c r="Q289" s="203">
        <f t="shared" si="78"/>
        <v>9.5600000000000004E-2</v>
      </c>
      <c r="R289" s="129" t="s">
        <v>195</v>
      </c>
      <c r="S289" s="129" t="str">
        <f>""</f>
        <v/>
      </c>
      <c r="T289" s="129" t="s">
        <v>196</v>
      </c>
      <c r="U289" s="129" t="s">
        <v>197</v>
      </c>
      <c r="V289" s="129" t="s">
        <v>198</v>
      </c>
      <c r="W289" s="129" t="s">
        <v>356</v>
      </c>
      <c r="X289" s="129" t="s">
        <v>206</v>
      </c>
      <c r="Y289" s="129" t="s">
        <v>351</v>
      </c>
      <c r="Z289" s="129" t="s">
        <v>202</v>
      </c>
      <c r="AA289" s="129" t="s">
        <v>342</v>
      </c>
      <c r="AB289" s="129">
        <v>15</v>
      </c>
      <c r="AC289" s="212">
        <f>'PBL OT 2024'!$F$12/POWER(1.02,7)</f>
        <v>3.1295046784292957E-2</v>
      </c>
      <c r="AD289" s="212" t="str">
        <f t="shared" si="71"/>
        <v/>
      </c>
      <c r="AE289" s="212" t="s">
        <v>687</v>
      </c>
      <c r="AF289" s="235">
        <v>17</v>
      </c>
      <c r="AG289" s="129"/>
    </row>
    <row r="290" spans="1:33" ht="15" x14ac:dyDescent="0.25">
      <c r="A290" s="129"/>
      <c r="B290" s="212"/>
      <c r="C290" s="205"/>
      <c r="D290" s="212"/>
      <c r="E290" s="205"/>
      <c r="F290" s="205"/>
      <c r="G290" s="245"/>
      <c r="H290" s="212"/>
      <c r="I290" s="212"/>
      <c r="J290" s="212"/>
      <c r="K290" s="212"/>
      <c r="L290" s="129"/>
      <c r="M290" s="129"/>
      <c r="N290" s="203"/>
      <c r="O290" s="203"/>
      <c r="P290" s="203"/>
      <c r="Q290" s="203"/>
      <c r="R290" s="129"/>
      <c r="S290" s="129"/>
      <c r="T290" s="129"/>
      <c r="U290" s="129"/>
      <c r="V290" s="129"/>
      <c r="W290" s="129"/>
      <c r="X290" s="129"/>
      <c r="Y290" s="129"/>
      <c r="Z290" s="129"/>
      <c r="AA290" s="129"/>
      <c r="AB290" s="129"/>
      <c r="AC290" s="240"/>
      <c r="AD290" s="212"/>
      <c r="AE290" s="212"/>
      <c r="AF290" s="236"/>
      <c r="AG290" s="129"/>
    </row>
    <row r="291" spans="1:33" ht="15" x14ac:dyDescent="0.25">
      <c r="A291" s="206" t="s">
        <v>360</v>
      </c>
      <c r="B291" s="212"/>
      <c r="C291" s="205"/>
      <c r="D291" s="212"/>
      <c r="E291" s="205"/>
      <c r="F291" s="205"/>
      <c r="G291" s="245"/>
      <c r="H291" s="212"/>
      <c r="I291" s="212"/>
      <c r="J291" s="212"/>
      <c r="K291" s="212"/>
      <c r="L291" s="129"/>
      <c r="M291" s="129"/>
      <c r="N291" s="203"/>
      <c r="O291" s="203"/>
      <c r="P291" s="203"/>
      <c r="Q291" s="203"/>
      <c r="R291" s="129"/>
      <c r="S291" s="129"/>
      <c r="T291" s="129"/>
      <c r="U291" s="129"/>
      <c r="V291" s="129"/>
      <c r="W291" s="129"/>
      <c r="X291" s="129"/>
      <c r="Y291" s="129"/>
      <c r="Z291" s="129"/>
      <c r="AA291" s="129"/>
      <c r="AB291" s="129"/>
      <c r="AC291" s="240"/>
      <c r="AD291" s="212"/>
      <c r="AE291" s="212"/>
      <c r="AF291" s="236"/>
      <c r="AG291" s="129"/>
    </row>
    <row r="292" spans="1:33" ht="15" x14ac:dyDescent="0.25">
      <c r="A292" s="129" t="s">
        <v>533</v>
      </c>
      <c r="B292" s="212">
        <v>0.1113</v>
      </c>
      <c r="C292" s="205">
        <v>3.0800000000000001E-2</v>
      </c>
      <c r="D292" s="212"/>
      <c r="E292" s="205">
        <v>5.7000000000000002E-2</v>
      </c>
      <c r="F292" s="205">
        <v>0.22500000000000001</v>
      </c>
      <c r="G292" s="245">
        <f t="shared" si="70"/>
        <v>241.33333333333331</v>
      </c>
      <c r="H292" s="212">
        <v>7.1900000000000006E-2</v>
      </c>
      <c r="I292" s="212" t="str">
        <f>""</f>
        <v/>
      </c>
      <c r="J292" s="212"/>
      <c r="K292" s="212">
        <v>6.4999999999999997E-3</v>
      </c>
      <c r="L292" s="129">
        <v>3300</v>
      </c>
      <c r="M292" s="129">
        <v>15</v>
      </c>
      <c r="N292" s="203">
        <f>MIN($B292,(75*$F292/1000)+$E292)</f>
        <v>7.3874999999999996E-2</v>
      </c>
      <c r="O292" s="203">
        <f>MIN($B292,(150*$F292/1000)+$E292)</f>
        <v>9.0749999999999997E-2</v>
      </c>
      <c r="P292" s="203">
        <f>MIN($B292,(225*$F292/1000)+$E292)</f>
        <v>0.107625</v>
      </c>
      <c r="Q292" s="203">
        <f t="shared" ref="Q292:Q303" si="79">MIN($B292,(300*$F292/1000)+$E292)</f>
        <v>0.1113</v>
      </c>
      <c r="R292" s="129" t="s">
        <v>195</v>
      </c>
      <c r="S292" s="129" t="str">
        <f>""</f>
        <v/>
      </c>
      <c r="T292" s="129" t="s">
        <v>196</v>
      </c>
      <c r="U292" s="129" t="s">
        <v>197</v>
      </c>
      <c r="V292" s="129" t="s">
        <v>198</v>
      </c>
      <c r="W292" s="129" t="s">
        <v>361</v>
      </c>
      <c r="X292" s="129" t="s">
        <v>206</v>
      </c>
      <c r="Y292" s="129" t="s">
        <v>257</v>
      </c>
      <c r="Z292" s="129" t="s">
        <v>202</v>
      </c>
      <c r="AA292" s="129" t="str">
        <f>"Voor deze categorie geldt naast een maximum aantal van  "&amp;L292&amp;" subsidiabele vollasturen per jaar een beperking in toegestane productie-uren (bedrijfsuren) per jaar t/m het jaar 2028!"</f>
        <v>Voor deze categorie geldt naast een maximum aantal van  3300 subsidiabele vollasturen per jaar een beperking in toegestane productie-uren (bedrijfsuren) per jaar t/m het jaar 2028!</v>
      </c>
      <c r="AB292" s="129">
        <v>15</v>
      </c>
      <c r="AC292" s="212">
        <f>'PBL OT 2024'!$F$13/POWER(1.02,7)</f>
        <v>4.0236488722662375E-2</v>
      </c>
      <c r="AD292" s="212" t="str">
        <f t="shared" si="71"/>
        <v/>
      </c>
      <c r="AE292" s="212" t="s">
        <v>690</v>
      </c>
      <c r="AF292" s="235">
        <v>18</v>
      </c>
      <c r="AG292" s="129"/>
    </row>
    <row r="293" spans="1:33" ht="15" x14ac:dyDescent="0.25">
      <c r="A293" s="129" t="s">
        <v>721</v>
      </c>
      <c r="B293" s="212">
        <v>0.1113</v>
      </c>
      <c r="C293" s="205">
        <v>3.0800000000000001E-2</v>
      </c>
      <c r="D293" s="212"/>
      <c r="E293" s="205">
        <v>4.6199999999999998E-2</v>
      </c>
      <c r="F293" s="205">
        <v>0.22500000000000001</v>
      </c>
      <c r="G293" s="245">
        <f t="shared" si="70"/>
        <v>289.33333333333331</v>
      </c>
      <c r="H293" s="212">
        <v>7.1900000000000006E-2</v>
      </c>
      <c r="I293" s="212"/>
      <c r="J293" s="212"/>
      <c r="K293" s="212">
        <v>0</v>
      </c>
      <c r="L293" s="129">
        <v>3300</v>
      </c>
      <c r="M293" s="129">
        <v>15</v>
      </c>
      <c r="N293" s="203">
        <f t="shared" ref="N293:N296" si="80">MIN($B293,(75*$F293/1000)+$E293)</f>
        <v>6.3074999999999992E-2</v>
      </c>
      <c r="O293" s="203">
        <f t="shared" ref="O293:O296" si="81">MIN($B293,(150*$F293/1000)+$E293)</f>
        <v>7.9949999999999993E-2</v>
      </c>
      <c r="P293" s="203">
        <f t="shared" ref="P293:P296" si="82">MIN($B293,(225*$F293/1000)+$E293)</f>
        <v>9.6824999999999994E-2</v>
      </c>
      <c r="Q293" s="203">
        <f t="shared" si="79"/>
        <v>0.1113</v>
      </c>
      <c r="R293" s="129" t="s">
        <v>195</v>
      </c>
      <c r="S293" s="129" t="str">
        <f>""</f>
        <v/>
      </c>
      <c r="T293" s="129" t="s">
        <v>196</v>
      </c>
      <c r="U293" s="129" t="s">
        <v>197</v>
      </c>
      <c r="V293" s="129" t="s">
        <v>198</v>
      </c>
      <c r="W293" s="129" t="s">
        <v>361</v>
      </c>
      <c r="X293" s="129" t="s">
        <v>206</v>
      </c>
      <c r="Y293" s="129" t="s">
        <v>257</v>
      </c>
      <c r="Z293" s="129" t="s">
        <v>202</v>
      </c>
      <c r="AA293" s="129" t="str">
        <f t="shared" ref="AA293" si="83">"Voor deze categorie geldt naast een maximum aantal van  "&amp;L293&amp;" subsidiabele vollasturen per jaar een beperking in toegestane productie-uren (bedrijfsuren) per jaar t/m het jaar 2028!"</f>
        <v>Voor deze categorie geldt naast een maximum aantal van  3300 subsidiabele vollasturen per jaar een beperking in toegestane productie-uren (bedrijfsuren) per jaar t/m het jaar 2028!</v>
      </c>
      <c r="AB293" s="129">
        <v>15</v>
      </c>
      <c r="AC293" s="212">
        <f>'PBL OT 2024'!$F$13/POWER(1.02,7)</f>
        <v>4.0236488722662375E-2</v>
      </c>
      <c r="AD293" s="212" t="str">
        <f t="shared" si="71"/>
        <v/>
      </c>
      <c r="AE293" s="212" t="s">
        <v>690</v>
      </c>
      <c r="AF293" s="235">
        <v>18</v>
      </c>
      <c r="AG293" s="129"/>
    </row>
    <row r="294" spans="1:33" ht="15" x14ac:dyDescent="0.25">
      <c r="A294" s="129" t="s">
        <v>722</v>
      </c>
      <c r="B294" s="212">
        <v>0.13589999999999999</v>
      </c>
      <c r="C294" s="205">
        <v>3.0800000000000001E-2</v>
      </c>
      <c r="D294" s="212"/>
      <c r="E294" s="205">
        <v>4.6199999999999998E-2</v>
      </c>
      <c r="F294" s="205">
        <v>0.22500000000000001</v>
      </c>
      <c r="G294" s="245">
        <f t="shared" si="70"/>
        <v>398.66666666666669</v>
      </c>
      <c r="H294" s="212">
        <v>7.1900000000000006E-2</v>
      </c>
      <c r="I294" s="212"/>
      <c r="J294" s="212"/>
      <c r="K294" s="212">
        <v>0</v>
      </c>
      <c r="L294" s="129">
        <v>5000</v>
      </c>
      <c r="M294" s="129">
        <v>15</v>
      </c>
      <c r="N294" s="203">
        <f t="shared" si="80"/>
        <v>6.3074999999999992E-2</v>
      </c>
      <c r="O294" s="203">
        <f t="shared" si="81"/>
        <v>7.9949999999999993E-2</v>
      </c>
      <c r="P294" s="203">
        <f t="shared" si="82"/>
        <v>9.6824999999999994E-2</v>
      </c>
      <c r="Q294" s="203">
        <f t="shared" si="79"/>
        <v>0.1137</v>
      </c>
      <c r="R294" s="129" t="s">
        <v>195</v>
      </c>
      <c r="S294" s="129"/>
      <c r="T294" s="129" t="s">
        <v>196</v>
      </c>
      <c r="U294" s="129" t="s">
        <v>197</v>
      </c>
      <c r="V294" s="129" t="s">
        <v>198</v>
      </c>
      <c r="W294" s="129" t="s">
        <v>898</v>
      </c>
      <c r="X294" s="129" t="s">
        <v>206</v>
      </c>
      <c r="Y294" s="129" t="s">
        <v>257</v>
      </c>
      <c r="Z294" s="129" t="s">
        <v>202</v>
      </c>
      <c r="AA294" s="129" t="str">
        <f>"Voor deze categorie geldt naast een maximum aantal van  "&amp;L294&amp;" subsidiabele vollasturen per jaar een beperking in toegestane productie-uren (bedrijfsuren) per jaar t/m het jaar 2027!"</f>
        <v>Voor deze categorie geldt naast een maximum aantal van  5000 subsidiabele vollasturen per jaar een beperking in toegestane productie-uren (bedrijfsuren) per jaar t/m het jaar 2027!</v>
      </c>
      <c r="AB294" s="129">
        <v>15</v>
      </c>
      <c r="AC294" s="212">
        <f>'PBL OT 2024'!$F$13/POWER(1.02,7)</f>
        <v>4.0236488722662375E-2</v>
      </c>
      <c r="AD294" s="212" t="str">
        <f t="shared" si="71"/>
        <v/>
      </c>
      <c r="AE294" s="212" t="s">
        <v>729</v>
      </c>
      <c r="AF294" s="235">
        <v>18</v>
      </c>
      <c r="AG294" s="129"/>
    </row>
    <row r="295" spans="1:33" ht="15" x14ac:dyDescent="0.25">
      <c r="A295" s="129" t="s">
        <v>719</v>
      </c>
      <c r="B295" s="212">
        <v>0.188</v>
      </c>
      <c r="C295" s="205">
        <v>4.58E-2</v>
      </c>
      <c r="D295" s="212"/>
      <c r="E295" s="205">
        <v>9.64E-2</v>
      </c>
      <c r="F295" s="205">
        <v>0.22900000000000001</v>
      </c>
      <c r="G295" s="245">
        <f t="shared" si="70"/>
        <v>399.99999999999994</v>
      </c>
      <c r="H295" s="212">
        <v>9.7000000000000003E-2</v>
      </c>
      <c r="I295" s="212" t="str">
        <f>""</f>
        <v/>
      </c>
      <c r="J295" s="212"/>
      <c r="K295" s="212">
        <v>1.89E-2</v>
      </c>
      <c r="L295" s="129">
        <v>3740</v>
      </c>
      <c r="M295" s="129">
        <v>15</v>
      </c>
      <c r="N295" s="203">
        <f t="shared" si="80"/>
        <v>0.113575</v>
      </c>
      <c r="O295" s="203">
        <f t="shared" si="81"/>
        <v>0.13075000000000001</v>
      </c>
      <c r="P295" s="203">
        <f t="shared" si="82"/>
        <v>0.147925</v>
      </c>
      <c r="Q295" s="203">
        <f t="shared" si="79"/>
        <v>0.1651</v>
      </c>
      <c r="R295" s="129" t="s">
        <v>362</v>
      </c>
      <c r="S295" s="129" t="str">
        <f>""</f>
        <v/>
      </c>
      <c r="T295" s="129" t="s">
        <v>196</v>
      </c>
      <c r="U295" s="129" t="s">
        <v>197</v>
      </c>
      <c r="V295" s="129" t="s">
        <v>198</v>
      </c>
      <c r="W295" s="129" t="s">
        <v>363</v>
      </c>
      <c r="X295" s="129" t="s">
        <v>364</v>
      </c>
      <c r="Y295" s="129" t="s">
        <v>960</v>
      </c>
      <c r="Z295" s="129" t="s">
        <v>202</v>
      </c>
      <c r="AA295" s="129" t="str">
        <f>"Voor deze categorie geldt dat alleen subsidie wordt verstrekt voor productie van volledig hernieuwbare waterstof en dat ingeval ook niet volledig hernieuwbare waterstof wordt geproduceerd de totale broeikasgasemissiereductie tenminste 70% bedraagt!"</f>
        <v>Voor deze categorie geldt dat alleen subsidie wordt verstrekt voor productie van volledig hernieuwbare waterstof en dat ingeval ook niet volledig hernieuwbare waterstof wordt geproduceerd de totale broeikasgasemissiereductie tenminste 70% bedraagt!</v>
      </c>
      <c r="AB295" s="129">
        <v>15</v>
      </c>
      <c r="AC295" s="212">
        <f>(0.29+49*'PBL OT 2024'!$F$8/POWER(1.02,7))/39.32</f>
        <v>5.7512743762675352E-2</v>
      </c>
      <c r="AD295" s="212" t="str">
        <f t="shared" si="71"/>
        <v/>
      </c>
      <c r="AE295" s="212" t="s">
        <v>692</v>
      </c>
      <c r="AF295" s="235">
        <v>30</v>
      </c>
      <c r="AG295" s="129"/>
    </row>
    <row r="296" spans="1:33" ht="15" x14ac:dyDescent="0.25">
      <c r="A296" s="129" t="s">
        <v>720</v>
      </c>
      <c r="B296" s="212">
        <v>0.188</v>
      </c>
      <c r="C296" s="205">
        <v>4.58E-2</v>
      </c>
      <c r="D296" s="212"/>
      <c r="E296" s="205">
        <v>9.64E-2</v>
      </c>
      <c r="F296" s="205">
        <v>0.22900000000000001</v>
      </c>
      <c r="G296" s="245">
        <f t="shared" si="70"/>
        <v>399.99999999999994</v>
      </c>
      <c r="H296" s="212">
        <v>9.7000000000000003E-2</v>
      </c>
      <c r="I296" s="212" t="str">
        <f>""</f>
        <v/>
      </c>
      <c r="J296" s="212"/>
      <c r="K296" s="212">
        <v>1.89E-2</v>
      </c>
      <c r="L296" s="129">
        <v>5845</v>
      </c>
      <c r="M296" s="129">
        <v>15</v>
      </c>
      <c r="N296" s="203">
        <f t="shared" si="80"/>
        <v>0.113575</v>
      </c>
      <c r="O296" s="203">
        <f t="shared" si="81"/>
        <v>0.13075000000000001</v>
      </c>
      <c r="P296" s="203">
        <f t="shared" si="82"/>
        <v>0.147925</v>
      </c>
      <c r="Q296" s="203">
        <f t="shared" si="79"/>
        <v>0.1651</v>
      </c>
      <c r="R296" s="129" t="s">
        <v>362</v>
      </c>
      <c r="S296" s="129" t="str">
        <f>""</f>
        <v/>
      </c>
      <c r="T296" s="129" t="s">
        <v>196</v>
      </c>
      <c r="U296" s="129" t="s">
        <v>197</v>
      </c>
      <c r="V296" s="129" t="s">
        <v>198</v>
      </c>
      <c r="W296" s="129" t="s">
        <v>366</v>
      </c>
      <c r="X296" s="129" t="s">
        <v>364</v>
      </c>
      <c r="Y296" s="129" t="s">
        <v>365</v>
      </c>
      <c r="Z296" s="129" t="s">
        <v>202</v>
      </c>
      <c r="AA296" s="129" t="s">
        <v>877</v>
      </c>
      <c r="AB296" s="129">
        <v>15</v>
      </c>
      <c r="AC296" s="212">
        <f>(0.29+49*'PBL OT 2024'!$F$8/POWER(1.02,7))/39.32</f>
        <v>5.7512743762675352E-2</v>
      </c>
      <c r="AD296" s="212" t="str">
        <f t="shared" si="71"/>
        <v/>
      </c>
      <c r="AE296" s="212" t="s">
        <v>692</v>
      </c>
      <c r="AF296" s="235">
        <v>30</v>
      </c>
      <c r="AG296" s="129"/>
    </row>
    <row r="297" spans="1:33" ht="15" x14ac:dyDescent="0.25">
      <c r="A297" s="129"/>
      <c r="B297" s="212"/>
      <c r="C297" s="205"/>
      <c r="D297" s="212"/>
      <c r="E297" s="205"/>
      <c r="F297" s="205"/>
      <c r="G297" s="245"/>
      <c r="H297" s="212"/>
      <c r="I297" s="212"/>
      <c r="J297" s="212"/>
      <c r="K297" s="212"/>
      <c r="L297" s="129"/>
      <c r="M297" s="129"/>
      <c r="N297" s="203"/>
      <c r="O297" s="203"/>
      <c r="P297" s="203"/>
      <c r="Q297" s="203"/>
      <c r="R297" s="129"/>
      <c r="S297" s="129"/>
      <c r="T297" s="129"/>
      <c r="U297" s="129"/>
      <c r="V297" s="129"/>
      <c r="W297" s="129"/>
      <c r="X297" s="129"/>
      <c r="Y297" s="129"/>
      <c r="Z297" s="129"/>
      <c r="AA297" s="129"/>
      <c r="AB297" s="129"/>
      <c r="AC297" s="240"/>
      <c r="AD297" s="212"/>
      <c r="AE297" s="212"/>
      <c r="AF297" s="236"/>
      <c r="AG297" s="129"/>
    </row>
    <row r="298" spans="1:33" ht="15" x14ac:dyDescent="0.25">
      <c r="A298" s="206" t="s">
        <v>367</v>
      </c>
      <c r="B298" s="129"/>
      <c r="C298" s="205"/>
      <c r="D298" s="129"/>
      <c r="E298" s="205"/>
      <c r="F298" s="205"/>
      <c r="G298" s="245"/>
      <c r="H298" s="212"/>
      <c r="I298" s="212"/>
      <c r="J298" s="212"/>
      <c r="K298" s="212"/>
      <c r="L298" s="129"/>
      <c r="M298" s="129"/>
      <c r="N298" s="203"/>
      <c r="O298" s="203"/>
      <c r="P298" s="203"/>
      <c r="Q298" s="203"/>
      <c r="R298" s="129"/>
      <c r="S298" s="129"/>
      <c r="T298" s="129"/>
      <c r="U298" s="129"/>
      <c r="V298" s="129"/>
      <c r="W298" s="129"/>
      <c r="X298" s="129"/>
      <c r="Y298" s="129"/>
      <c r="Z298" s="129"/>
      <c r="AA298" s="129"/>
      <c r="AB298" s="129"/>
      <c r="AC298" s="240"/>
      <c r="AD298" s="212"/>
      <c r="AE298" s="212"/>
      <c r="AF298" s="236"/>
      <c r="AG298" s="129"/>
    </row>
    <row r="299" spans="1:33" ht="15" x14ac:dyDescent="0.25">
      <c r="A299" s="129" t="s">
        <v>368</v>
      </c>
      <c r="B299" s="212">
        <v>0.17499999999999999</v>
      </c>
      <c r="C299" s="205">
        <v>7.1300000000000002E-2</v>
      </c>
      <c r="D299" s="212"/>
      <c r="E299" s="205">
        <v>0.19089999999999999</v>
      </c>
      <c r="F299" s="205">
        <v>0.28599999999999998</v>
      </c>
      <c r="G299" s="245">
        <f t="shared" si="70"/>
        <v>-55.594405594405586</v>
      </c>
      <c r="H299" s="203">
        <v>9.7600000000000006E-2</v>
      </c>
      <c r="I299" s="212" t="str">
        <f>""</f>
        <v/>
      </c>
      <c r="J299" s="203">
        <v>8.3900000000000002E-2</v>
      </c>
      <c r="K299" s="203">
        <v>0</v>
      </c>
      <c r="L299" s="129">
        <v>8000</v>
      </c>
      <c r="M299" s="129">
        <v>15</v>
      </c>
      <c r="N299" s="203">
        <f>MIN($B299,(75*$F299/1000)+$E299)</f>
        <v>0.17499999999999999</v>
      </c>
      <c r="O299" s="203">
        <f>MIN($B299,(150*$F299/1000)+$E299)</f>
        <v>0.17499999999999999</v>
      </c>
      <c r="P299" s="203">
        <f>MIN($B299,(225*$F299/1000)+$E299)</f>
        <v>0.17499999999999999</v>
      </c>
      <c r="Q299" s="203">
        <f t="shared" si="79"/>
        <v>0.17499999999999999</v>
      </c>
      <c r="R299" s="129" t="s">
        <v>369</v>
      </c>
      <c r="S299" s="129" t="str">
        <f>""</f>
        <v/>
      </c>
      <c r="T299" s="129" t="s">
        <v>196</v>
      </c>
      <c r="U299" s="129" t="s">
        <v>197</v>
      </c>
      <c r="V299" s="129" t="s">
        <v>198</v>
      </c>
      <c r="W299" s="129" t="s">
        <v>199</v>
      </c>
      <c r="X299" s="129" t="s">
        <v>370</v>
      </c>
      <c r="Y299" s="129" t="s">
        <v>201</v>
      </c>
      <c r="Z299" s="129" t="s">
        <v>202</v>
      </c>
      <c r="AA299" s="129" t="str">
        <f>""</f>
        <v/>
      </c>
      <c r="AB299" s="129">
        <v>15</v>
      </c>
      <c r="AC299" s="203">
        <f>'PBL OT 2024'!$F$22/POWER(1.02,7)+'PBL OT 2024'!$D$39</f>
        <v>0.17706908302017171</v>
      </c>
      <c r="AD299" s="212" t="b">
        <f t="shared" si="71"/>
        <v>0</v>
      </c>
      <c r="AE299" s="203" t="s">
        <v>701</v>
      </c>
      <c r="AF299" s="235">
        <v>36</v>
      </c>
      <c r="AG299" s="129"/>
    </row>
    <row r="300" spans="1:33" ht="15" x14ac:dyDescent="0.25">
      <c r="A300" s="129" t="s">
        <v>371</v>
      </c>
      <c r="B300" s="212">
        <v>0.14269999999999999</v>
      </c>
      <c r="C300" s="205">
        <v>7.1300000000000002E-2</v>
      </c>
      <c r="D300" s="212"/>
      <c r="E300" s="205">
        <v>0.19089999999999999</v>
      </c>
      <c r="F300" s="205">
        <v>0.25</v>
      </c>
      <c r="G300" s="245">
        <f t="shared" si="70"/>
        <v>-192.79999999999998</v>
      </c>
      <c r="H300" s="203">
        <v>9.7600000000000006E-2</v>
      </c>
      <c r="I300" s="212" t="str">
        <f>""</f>
        <v/>
      </c>
      <c r="J300" s="203">
        <v>8.3900000000000002E-2</v>
      </c>
      <c r="K300" s="203">
        <v>0</v>
      </c>
      <c r="L300" s="129">
        <v>8000</v>
      </c>
      <c r="M300" s="129">
        <v>15</v>
      </c>
      <c r="N300" s="203">
        <f t="shared" ref="N300:N303" si="84">MIN($B300,(75*$F300/1000)+$E300)</f>
        <v>0.14269999999999999</v>
      </c>
      <c r="O300" s="203">
        <f t="shared" ref="O300:O303" si="85">MIN($B300,(150*$F300/1000)+$E300)</f>
        <v>0.14269999999999999</v>
      </c>
      <c r="P300" s="203">
        <f t="shared" ref="P300:P303" si="86">MIN($B300,(225*$F300/1000)+$E300)</f>
        <v>0.14269999999999999</v>
      </c>
      <c r="Q300" s="203">
        <f t="shared" si="79"/>
        <v>0.14269999999999999</v>
      </c>
      <c r="R300" s="129" t="s">
        <v>372</v>
      </c>
      <c r="S300" s="129" t="str">
        <f>""</f>
        <v/>
      </c>
      <c r="T300" s="129" t="s">
        <v>196</v>
      </c>
      <c r="U300" s="129" t="s">
        <v>197</v>
      </c>
      <c r="V300" s="129" t="s">
        <v>198</v>
      </c>
      <c r="W300" s="129" t="s">
        <v>199</v>
      </c>
      <c r="X300" s="129" t="s">
        <v>373</v>
      </c>
      <c r="Y300" s="129" t="s">
        <v>201</v>
      </c>
      <c r="Z300" s="129" t="s">
        <v>202</v>
      </c>
      <c r="AA300" s="129" t="str">
        <f>""</f>
        <v/>
      </c>
      <c r="AB300" s="129">
        <v>15</v>
      </c>
      <c r="AC300" s="203">
        <f>'PBL OT 2024'!$F$22/POWER(1.02,7)+'PBL OT 2024'!$D$39</f>
        <v>0.17706908302017171</v>
      </c>
      <c r="AD300" s="212" t="b">
        <f t="shared" si="71"/>
        <v>0</v>
      </c>
      <c r="AE300" s="203" t="s">
        <v>701</v>
      </c>
      <c r="AF300" s="235">
        <v>36</v>
      </c>
      <c r="AG300" s="129"/>
    </row>
    <row r="301" spans="1:33" ht="12.75" customHeight="1" x14ac:dyDescent="0.25">
      <c r="A301" s="130" t="s">
        <v>374</v>
      </c>
      <c r="B301" s="212">
        <v>0.1799</v>
      </c>
      <c r="C301" s="205">
        <v>3.7400000000000003E-2</v>
      </c>
      <c r="D301" s="212"/>
      <c r="E301" s="205">
        <v>0.1384</v>
      </c>
      <c r="F301" s="205">
        <v>0.38040000000000002</v>
      </c>
      <c r="G301" s="245">
        <f t="shared" si="70"/>
        <v>109.0956887486856</v>
      </c>
      <c r="H301" s="203">
        <v>8.3099999999999993E-2</v>
      </c>
      <c r="I301" s="212" t="str">
        <f>""</f>
        <v/>
      </c>
      <c r="J301" s="203">
        <v>8.3900000000000002E-2</v>
      </c>
      <c r="K301" s="203">
        <v>0</v>
      </c>
      <c r="L301" s="129">
        <v>8000</v>
      </c>
      <c r="M301" s="129">
        <v>12</v>
      </c>
      <c r="N301" s="203">
        <f t="shared" si="84"/>
        <v>0.16693</v>
      </c>
      <c r="O301" s="203">
        <f t="shared" si="85"/>
        <v>0.1799</v>
      </c>
      <c r="P301" s="203">
        <f t="shared" si="86"/>
        <v>0.1799</v>
      </c>
      <c r="Q301" s="203">
        <f t="shared" si="79"/>
        <v>0.1799</v>
      </c>
      <c r="R301" s="129" t="s">
        <v>375</v>
      </c>
      <c r="S301" s="129" t="str">
        <f>""</f>
        <v/>
      </c>
      <c r="T301" s="129" t="s">
        <v>196</v>
      </c>
      <c r="U301" s="129" t="s">
        <v>197</v>
      </c>
      <c r="V301" s="129" t="s">
        <v>198</v>
      </c>
      <c r="W301" s="129" t="s">
        <v>199</v>
      </c>
      <c r="X301" s="129" t="s">
        <v>376</v>
      </c>
      <c r="Y301" s="129" t="s">
        <v>201</v>
      </c>
      <c r="Z301" s="129" t="s">
        <v>202</v>
      </c>
      <c r="AA301" s="129" t="str">
        <f>""</f>
        <v/>
      </c>
      <c r="AB301" s="129">
        <v>12</v>
      </c>
      <c r="AC301" s="203">
        <f>'PBL OT 2024'!$F$25/POWER(1.02,7)+0.00319+'PBL OT 2024'!$D$41</f>
        <v>0.13179720969184708</v>
      </c>
      <c r="AD301" s="212" t="str">
        <f t="shared" si="71"/>
        <v/>
      </c>
      <c r="AE301" s="242" t="s">
        <v>702</v>
      </c>
      <c r="AF301" s="235">
        <v>40</v>
      </c>
      <c r="AG301" s="129"/>
    </row>
    <row r="302" spans="1:33" ht="15" customHeight="1" x14ac:dyDescent="0.25">
      <c r="A302" s="129" t="s">
        <v>377</v>
      </c>
      <c r="B302" s="212">
        <v>0.1174</v>
      </c>
      <c r="C302" s="205">
        <v>3.7400000000000003E-2</v>
      </c>
      <c r="D302" s="212"/>
      <c r="E302" s="205">
        <v>0.1384</v>
      </c>
      <c r="F302" s="205">
        <v>0.23710000000000001</v>
      </c>
      <c r="G302" s="245">
        <f t="shared" si="70"/>
        <v>-88.570223534373639</v>
      </c>
      <c r="H302" s="203">
        <v>8.3099999999999993E-2</v>
      </c>
      <c r="I302" s="212" t="str">
        <f>""</f>
        <v/>
      </c>
      <c r="J302" s="203">
        <v>8.3900000000000002E-2</v>
      </c>
      <c r="K302" s="203">
        <v>0</v>
      </c>
      <c r="L302" s="129">
        <v>8000</v>
      </c>
      <c r="M302" s="129">
        <v>12</v>
      </c>
      <c r="N302" s="203">
        <f t="shared" si="84"/>
        <v>0.1174</v>
      </c>
      <c r="O302" s="203">
        <f t="shared" si="85"/>
        <v>0.1174</v>
      </c>
      <c r="P302" s="203">
        <f t="shared" si="86"/>
        <v>0.1174</v>
      </c>
      <c r="Q302" s="203">
        <f t="shared" si="79"/>
        <v>0.1174</v>
      </c>
      <c r="R302" s="129" t="s">
        <v>375</v>
      </c>
      <c r="S302" s="129" t="str">
        <f>""</f>
        <v/>
      </c>
      <c r="T302" s="129" t="s">
        <v>196</v>
      </c>
      <c r="U302" s="129" t="s">
        <v>197</v>
      </c>
      <c r="V302" s="129" t="s">
        <v>198</v>
      </c>
      <c r="W302" s="129" t="s">
        <v>199</v>
      </c>
      <c r="X302" s="129" t="s">
        <v>376</v>
      </c>
      <c r="Y302" s="129" t="s">
        <v>201</v>
      </c>
      <c r="Z302" s="129" t="s">
        <v>202</v>
      </c>
      <c r="AA302" s="129" t="str">
        <f>""</f>
        <v/>
      </c>
      <c r="AB302" s="129">
        <v>12</v>
      </c>
      <c r="AC302" s="203">
        <f>'PBL OT 2024'!$F$25/POWER(1.02,7)+0.00319+'PBL OT 2024'!$D$41</f>
        <v>0.13179720969184708</v>
      </c>
      <c r="AD302" s="212" t="b">
        <f t="shared" si="71"/>
        <v>0</v>
      </c>
      <c r="AE302" s="242" t="s">
        <v>702</v>
      </c>
      <c r="AF302" s="235">
        <v>40</v>
      </c>
      <c r="AG302" s="129"/>
    </row>
    <row r="303" spans="1:33" ht="15" x14ac:dyDescent="0.25">
      <c r="A303" s="129" t="s">
        <v>378</v>
      </c>
      <c r="B303" s="212">
        <v>0.13900000000000001</v>
      </c>
      <c r="C303" s="205">
        <v>6.9800000000000001E-2</v>
      </c>
      <c r="D303" s="212"/>
      <c r="E303" s="205">
        <v>0.18859999999999999</v>
      </c>
      <c r="F303" s="205">
        <v>0.2616</v>
      </c>
      <c r="G303" s="245">
        <f t="shared" si="70"/>
        <v>-189.60244648318036</v>
      </c>
      <c r="H303" s="203">
        <v>9.9400000000000002E-2</v>
      </c>
      <c r="I303" s="212" t="str">
        <f>""</f>
        <v/>
      </c>
      <c r="J303" s="203">
        <v>8.3900000000000002E-2</v>
      </c>
      <c r="K303" s="203">
        <v>0</v>
      </c>
      <c r="L303" s="129">
        <v>8000</v>
      </c>
      <c r="M303" s="129">
        <v>15</v>
      </c>
      <c r="N303" s="203">
        <f t="shared" si="84"/>
        <v>0.13900000000000001</v>
      </c>
      <c r="O303" s="203">
        <f t="shared" si="85"/>
        <v>0.13900000000000001</v>
      </c>
      <c r="P303" s="203">
        <f t="shared" si="86"/>
        <v>0.13900000000000001</v>
      </c>
      <c r="Q303" s="203">
        <f t="shared" si="79"/>
        <v>0.13900000000000001</v>
      </c>
      <c r="R303" s="129" t="s">
        <v>379</v>
      </c>
      <c r="S303" s="129" t="str">
        <f>""</f>
        <v/>
      </c>
      <c r="T303" s="129" t="s">
        <v>196</v>
      </c>
      <c r="U303" s="129" t="s">
        <v>197</v>
      </c>
      <c r="V303" s="129" t="s">
        <v>198</v>
      </c>
      <c r="W303" s="129" t="s">
        <v>199</v>
      </c>
      <c r="X303" s="129" t="s">
        <v>380</v>
      </c>
      <c r="Y303" s="129" t="s">
        <v>201</v>
      </c>
      <c r="Z303" s="129" t="s">
        <v>202</v>
      </c>
      <c r="AA303" s="129" t="str">
        <f>""</f>
        <v/>
      </c>
      <c r="AB303" s="129">
        <v>15</v>
      </c>
      <c r="AC303" s="203">
        <f>'PBL OT 2024'!$F$27/POWER(1.02,7)+'PBL OT 2024'!D42</f>
        <v>0.17506809251972003</v>
      </c>
      <c r="AD303" s="212" t="b">
        <f t="shared" si="71"/>
        <v>0</v>
      </c>
      <c r="AE303" s="203" t="s">
        <v>703</v>
      </c>
      <c r="AF303" s="235">
        <v>42</v>
      </c>
      <c r="AG303" s="129"/>
    </row>
    <row r="304" spans="1:33" x14ac:dyDescent="0.2">
      <c r="A304" s="129"/>
      <c r="B304" s="129"/>
      <c r="C304" s="129"/>
      <c r="D304" s="129"/>
      <c r="E304" s="129"/>
      <c r="F304" s="129"/>
      <c r="G304" s="129"/>
      <c r="H304" s="129"/>
      <c r="I304" s="129"/>
      <c r="J304" s="129"/>
      <c r="K304" s="129"/>
      <c r="L304" s="129"/>
      <c r="M304" s="129"/>
      <c r="N304" s="129"/>
      <c r="O304" s="129"/>
      <c r="P304" s="129"/>
      <c r="Q304" s="129"/>
      <c r="R304" s="129"/>
      <c r="S304" s="129"/>
      <c r="T304" s="129"/>
      <c r="U304" s="129"/>
      <c r="V304" s="129"/>
      <c r="W304" s="129"/>
      <c r="X304" s="129"/>
      <c r="Y304" s="129"/>
      <c r="Z304" s="129"/>
      <c r="AA304" s="129"/>
      <c r="AB304" s="129"/>
      <c r="AC304" s="129"/>
      <c r="AD304" s="129"/>
      <c r="AE304" s="129"/>
      <c r="AF304" s="129"/>
      <c r="AG304" s="129"/>
    </row>
  </sheetData>
  <mergeCells count="11">
    <mergeCell ref="C78:D78"/>
    <mergeCell ref="H78:K78"/>
    <mergeCell ref="N78:Q78"/>
    <mergeCell ref="R78:V78"/>
    <mergeCell ref="W78:W79"/>
    <mergeCell ref="Y78:Y79"/>
    <mergeCell ref="Z78:Z79"/>
    <mergeCell ref="X78:X79"/>
    <mergeCell ref="AE208:AE215"/>
    <mergeCell ref="AE228:AE236"/>
    <mergeCell ref="AC78:AD78"/>
  </mergeCells>
  <phoneticPr fontId="44" type="noConversion"/>
  <pageMargins left="0.7" right="0.7" top="0.75" bottom="0.75" header="0.3" footer="0.3"/>
  <pageSetup paperSize="9" orientation="portrait" r:id="rId1"/>
  <ignoredErrors>
    <ignoredError sqref="AA82 AA101"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93FD54-11B6-4C96-AC6A-4DDBD68EB15E}">
  <dimension ref="A1:Q105"/>
  <sheetViews>
    <sheetView topLeftCell="B16" zoomScale="75" zoomScaleNormal="75" workbookViewId="0">
      <selection activeCell="I48" sqref="I48"/>
    </sheetView>
  </sheetViews>
  <sheetFormatPr defaultColWidth="9.140625" defaultRowHeight="14.25" x14ac:dyDescent="0.2"/>
  <cols>
    <col min="1" max="1" width="36.28515625" style="295" customWidth="1"/>
    <col min="2" max="2" width="79.28515625" style="296" customWidth="1"/>
    <col min="3" max="3" width="22.5703125" style="296" customWidth="1"/>
    <col min="4" max="4" width="19.85546875" style="295" bestFit="1" customWidth="1"/>
    <col min="5" max="5" width="91.7109375" style="296" bestFit="1" customWidth="1"/>
    <col min="6" max="6" width="33.28515625" style="295" customWidth="1"/>
    <col min="7" max="7" width="99.5703125" style="296" bestFit="1" customWidth="1"/>
    <col min="8" max="8" width="19.85546875" style="295" bestFit="1" customWidth="1"/>
    <col min="9" max="9" width="97.7109375" style="296" customWidth="1"/>
    <col min="10" max="16384" width="9.140625" style="296"/>
  </cols>
  <sheetData>
    <row r="1" spans="1:11" s="251" customFormat="1" ht="18.75" customHeight="1" x14ac:dyDescent="0.25">
      <c r="A1" s="248" t="s">
        <v>739</v>
      </c>
      <c r="B1" s="249"/>
      <c r="C1" s="250"/>
      <c r="D1" s="546" t="str">
        <f>+"Voorlopig correctiebedrag "&amp;[1]Colofon!$C$29</f>
        <v>Voorlopig correctiebedrag 2024</v>
      </c>
      <c r="E1" s="548"/>
      <c r="F1" s="546" t="str">
        <f>+"Langetermijnprijs SDE++ 2024 (t.b.v. rangschikking)"</f>
        <v>Langetermijnprijs SDE++ 2024 (t.b.v. rangschikking)</v>
      </c>
      <c r="G1" s="548"/>
      <c r="H1" s="546" t="str">
        <f>+"Basis- of bodemprijs SDE++ "&amp;[1]Colofon!$C$29</f>
        <v>Basis- of bodemprijs SDE++ 2024</v>
      </c>
      <c r="I1" s="547"/>
    </row>
    <row r="2" spans="1:11" s="258" customFormat="1" ht="18.75" customHeight="1" x14ac:dyDescent="0.2">
      <c r="A2" s="252" t="s">
        <v>544</v>
      </c>
      <c r="B2" s="253" t="s">
        <v>545</v>
      </c>
      <c r="C2" s="254" t="s">
        <v>546</v>
      </c>
      <c r="D2" s="255" t="s">
        <v>547</v>
      </c>
      <c r="E2" s="256" t="s">
        <v>548</v>
      </c>
      <c r="F2" s="255" t="s">
        <v>547</v>
      </c>
      <c r="G2" s="256" t="s">
        <v>548</v>
      </c>
      <c r="H2" s="255" t="s">
        <v>547</v>
      </c>
      <c r="I2" s="257" t="s">
        <v>548</v>
      </c>
    </row>
    <row r="3" spans="1:11" s="266" customFormat="1" ht="18.75" customHeight="1" x14ac:dyDescent="0.2">
      <c r="A3" s="259">
        <v>1</v>
      </c>
      <c r="B3" s="260" t="s">
        <v>253</v>
      </c>
      <c r="C3" s="261" t="s">
        <v>253</v>
      </c>
      <c r="D3" s="262">
        <f>D60</f>
        <v>0.14881171157450787</v>
      </c>
      <c r="E3" s="263" t="s">
        <v>549</v>
      </c>
      <c r="F3" s="264">
        <f>$H$60</f>
        <v>9.3929844491986048E-2</v>
      </c>
      <c r="G3" s="263" t="s">
        <v>551</v>
      </c>
      <c r="H3" s="264">
        <f>2/3*$H$60</f>
        <v>6.2619896327990698E-2</v>
      </c>
      <c r="I3" s="265" t="s">
        <v>550</v>
      </c>
    </row>
    <row r="4" spans="1:11" s="266" customFormat="1" ht="18.75" customHeight="1" x14ac:dyDescent="0.2">
      <c r="A4" s="259">
        <v>4</v>
      </c>
      <c r="B4" s="260" t="s">
        <v>552</v>
      </c>
      <c r="C4" s="261" t="s">
        <v>253</v>
      </c>
      <c r="D4" s="262">
        <f>D60*D61</f>
        <v>0.11086472512300836</v>
      </c>
      <c r="E4" s="263" t="s">
        <v>553</v>
      </c>
      <c r="F4" s="264">
        <f>$H$60*$H$61</f>
        <v>6.1431308584392663E-2</v>
      </c>
      <c r="G4" s="263" t="s">
        <v>555</v>
      </c>
      <c r="H4" s="264">
        <f>2/3*$H$60*$H$61</f>
        <v>4.0954205722928447E-2</v>
      </c>
      <c r="I4" s="265" t="s">
        <v>554</v>
      </c>
    </row>
    <row r="5" spans="1:11" s="266" customFormat="1" ht="18.75" customHeight="1" x14ac:dyDescent="0.2">
      <c r="A5" s="259">
        <v>6</v>
      </c>
      <c r="B5" s="260" t="s">
        <v>557</v>
      </c>
      <c r="C5" s="261" t="s">
        <v>253</v>
      </c>
      <c r="D5" s="262">
        <f>D60*D62</f>
        <v>0.12425777916471406</v>
      </c>
      <c r="E5" s="263" t="s">
        <v>558</v>
      </c>
      <c r="F5" s="264">
        <f>$H$60*$H$62</f>
        <v>7.3800047898668522E-2</v>
      </c>
      <c r="G5" s="263" t="s">
        <v>560</v>
      </c>
      <c r="H5" s="264">
        <f>2/3*$H$60*$H$62</f>
        <v>4.9200031932445681E-2</v>
      </c>
      <c r="I5" s="265" t="s">
        <v>559</v>
      </c>
      <c r="K5" s="267"/>
    </row>
    <row r="6" spans="1:11" s="266" customFormat="1" ht="18.75" customHeight="1" x14ac:dyDescent="0.2">
      <c r="A6" s="259">
        <v>7</v>
      </c>
      <c r="B6" s="260" t="s">
        <v>561</v>
      </c>
      <c r="C6" s="261" t="s">
        <v>253</v>
      </c>
      <c r="D6" s="262">
        <f>D60*D62+D69+D67</f>
        <v>0.17737777916471403</v>
      </c>
      <c r="E6" s="263" t="s">
        <v>562</v>
      </c>
      <c r="F6" s="264">
        <f>$H$60*$H$62+$D$69+$H$67</f>
        <v>0.12692004789866851</v>
      </c>
      <c r="G6" s="263" t="s">
        <v>740</v>
      </c>
      <c r="H6" s="264">
        <f>2/3*$H$60*$H$62+$D$69+$H$67</f>
        <v>0.10232003193244568</v>
      </c>
      <c r="I6" s="265" t="s">
        <v>741</v>
      </c>
    </row>
    <row r="7" spans="1:11" s="266" customFormat="1" ht="18.75" customHeight="1" x14ac:dyDescent="0.2">
      <c r="A7" s="259">
        <v>8</v>
      </c>
      <c r="B7" s="260" t="s">
        <v>563</v>
      </c>
      <c r="C7" s="261" t="s">
        <v>253</v>
      </c>
      <c r="D7" s="262">
        <f>D60*D62+D69</f>
        <v>0.16367777916471404</v>
      </c>
      <c r="E7" s="263" t="s">
        <v>564</v>
      </c>
      <c r="F7" s="264">
        <f>$H$60*$H$62+$D$69</f>
        <v>0.11322004789866852</v>
      </c>
      <c r="G7" s="263" t="s">
        <v>742</v>
      </c>
      <c r="H7" s="264">
        <f>2/3*$H$60*$H$62+$D$69</f>
        <v>8.8620031932445678E-2</v>
      </c>
      <c r="I7" s="265" t="s">
        <v>743</v>
      </c>
    </row>
    <row r="8" spans="1:11" s="266" customFormat="1" ht="18.75" customHeight="1" x14ac:dyDescent="0.2">
      <c r="A8" s="259">
        <v>13</v>
      </c>
      <c r="B8" s="260" t="s">
        <v>565</v>
      </c>
      <c r="C8" s="261" t="s">
        <v>143</v>
      </c>
      <c r="D8" s="262">
        <f>D63</f>
        <v>7.1942073359073364E-2</v>
      </c>
      <c r="E8" s="263" t="s">
        <v>566</v>
      </c>
      <c r="F8" s="264">
        <f>$H$63</f>
        <v>4.6214697372218859E-2</v>
      </c>
      <c r="G8" s="263" t="s">
        <v>568</v>
      </c>
      <c r="H8" s="264">
        <f>2/3*$H$63</f>
        <v>3.0809798248145906E-2</v>
      </c>
      <c r="I8" s="265" t="s">
        <v>567</v>
      </c>
    </row>
    <row r="9" spans="1:11" s="266" customFormat="1" ht="18.75" customHeight="1" x14ac:dyDescent="0.2">
      <c r="A9" s="259">
        <v>14</v>
      </c>
      <c r="B9" s="260" t="s">
        <v>569</v>
      </c>
      <c r="C9" s="261" t="s">
        <v>206</v>
      </c>
      <c r="D9" s="262">
        <f>(D64+D70)/90%</f>
        <v>0.15072784693833979</v>
      </c>
      <c r="E9" s="268" t="s">
        <v>744</v>
      </c>
      <c r="F9" s="262">
        <f>($H$64+$D$70)/90%</f>
        <v>0.1189626437276088</v>
      </c>
      <c r="G9" s="268" t="s">
        <v>745</v>
      </c>
      <c r="H9" s="262">
        <f>(2/3*$H$64+$D$70)/90%</f>
        <v>9.9942447055899261E-2</v>
      </c>
      <c r="I9" s="269" t="s">
        <v>746</v>
      </c>
    </row>
    <row r="10" spans="1:11" s="266" customFormat="1" ht="18.75" customHeight="1" x14ac:dyDescent="0.2">
      <c r="A10" s="259">
        <v>15</v>
      </c>
      <c r="B10" s="260" t="s">
        <v>570</v>
      </c>
      <c r="C10" s="261" t="s">
        <v>206</v>
      </c>
      <c r="D10" s="262">
        <f>(D64+D71)/90%</f>
        <v>0.1009850349320207</v>
      </c>
      <c r="E10" s="268" t="s">
        <v>747</v>
      </c>
      <c r="F10" s="262">
        <f>($H$64+$D$71)/90%</f>
        <v>6.921983172128969E-2</v>
      </c>
      <c r="G10" s="268" t="s">
        <v>748</v>
      </c>
      <c r="H10" s="262">
        <f>(2/3*$H$64+$D$71)/90%</f>
        <v>5.0199635049580159E-2</v>
      </c>
      <c r="I10" s="269" t="s">
        <v>749</v>
      </c>
    </row>
    <row r="11" spans="1:11" s="266" customFormat="1" ht="18.75" customHeight="1" x14ac:dyDescent="0.2">
      <c r="A11" s="259">
        <v>16</v>
      </c>
      <c r="B11" s="260" t="s">
        <v>571</v>
      </c>
      <c r="C11" s="261" t="s">
        <v>206</v>
      </c>
      <c r="D11" s="262">
        <f>(D64+D72)/90%</f>
        <v>9.5282665263774269E-2</v>
      </c>
      <c r="E11" s="268" t="s">
        <v>750</v>
      </c>
      <c r="F11" s="262">
        <f>($H$64+$D$72)/90%</f>
        <v>6.3517462053043261E-2</v>
      </c>
      <c r="G11" s="268" t="s">
        <v>751</v>
      </c>
      <c r="H11" s="262">
        <f>(2/3*$H$64+$D$72)/90%</f>
        <v>4.4497265381333737E-2</v>
      </c>
      <c r="I11" s="269" t="s">
        <v>752</v>
      </c>
    </row>
    <row r="12" spans="1:11" s="266" customFormat="1" ht="18.75" customHeight="1" x14ac:dyDescent="0.2">
      <c r="A12" s="259">
        <v>17</v>
      </c>
      <c r="B12" s="260" t="s">
        <v>572</v>
      </c>
      <c r="C12" s="261" t="s">
        <v>206</v>
      </c>
      <c r="D12" s="262">
        <f>70%*D64</f>
        <v>5.596024973229153E-2</v>
      </c>
      <c r="E12" s="268" t="s">
        <v>573</v>
      </c>
      <c r="F12" s="262">
        <f>70%*$H$64</f>
        <v>3.5948171709531004E-2</v>
      </c>
      <c r="G12" s="263" t="s">
        <v>575</v>
      </c>
      <c r="H12" s="262">
        <f>70%*2/3*$H$64</f>
        <v>2.3965447806354002E-2</v>
      </c>
      <c r="I12" s="265" t="s">
        <v>574</v>
      </c>
    </row>
    <row r="13" spans="1:11" s="266" customFormat="1" ht="18.75" customHeight="1" x14ac:dyDescent="0.2">
      <c r="A13" s="259">
        <v>18</v>
      </c>
      <c r="B13" s="270" t="s">
        <v>576</v>
      </c>
      <c r="C13" s="261" t="s">
        <v>206</v>
      </c>
      <c r="D13" s="262">
        <f>90%*D64</f>
        <v>7.1948892512946255E-2</v>
      </c>
      <c r="E13" s="263" t="s">
        <v>577</v>
      </c>
      <c r="F13" s="264">
        <f>90%*$H$64</f>
        <v>4.6219077912254151E-2</v>
      </c>
      <c r="G13" s="263" t="s">
        <v>579</v>
      </c>
      <c r="H13" s="264">
        <f>90%*2/3*$H$64</f>
        <v>3.0812718608169431E-2</v>
      </c>
      <c r="I13" s="265" t="s">
        <v>578</v>
      </c>
    </row>
    <row r="14" spans="1:11" s="266" customFormat="1" ht="18.75" customHeight="1" x14ac:dyDescent="0.2">
      <c r="A14" s="259">
        <v>20</v>
      </c>
      <c r="B14" s="260" t="s">
        <v>580</v>
      </c>
      <c r="C14" s="261" t="s">
        <v>206</v>
      </c>
      <c r="D14" s="262">
        <f>D64+D72</f>
        <v>8.5754398737396847E-2</v>
      </c>
      <c r="E14" s="268" t="s">
        <v>753</v>
      </c>
      <c r="F14" s="262">
        <f>$H$64+$D$72</f>
        <v>5.716571584773894E-2</v>
      </c>
      <c r="G14" s="268" t="s">
        <v>754</v>
      </c>
      <c r="H14" s="262">
        <f>2/3*$H$64+$D$72</f>
        <v>4.0047538843200364E-2</v>
      </c>
      <c r="I14" s="269" t="s">
        <v>755</v>
      </c>
    </row>
    <row r="15" spans="1:11" s="266" customFormat="1" ht="18.75" customHeight="1" x14ac:dyDescent="0.2">
      <c r="A15" s="259">
        <v>23</v>
      </c>
      <c r="B15" s="260" t="s">
        <v>581</v>
      </c>
      <c r="C15" s="261" t="s">
        <v>582</v>
      </c>
      <c r="D15" s="271" t="s">
        <v>583</v>
      </c>
      <c r="E15" s="263" t="s">
        <v>584</v>
      </c>
      <c r="F15" s="271" t="s">
        <v>583</v>
      </c>
      <c r="G15" s="263" t="s">
        <v>756</v>
      </c>
      <c r="H15" s="271" t="s">
        <v>583</v>
      </c>
      <c r="I15" s="265" t="s">
        <v>757</v>
      </c>
    </row>
    <row r="16" spans="1:11" s="266" customFormat="1" ht="18.75" customHeight="1" x14ac:dyDescent="0.2">
      <c r="A16" s="259">
        <v>24</v>
      </c>
      <c r="B16" s="260" t="s">
        <v>585</v>
      </c>
      <c r="C16" s="261" t="s">
        <v>582</v>
      </c>
      <c r="D16" s="271" t="s">
        <v>583</v>
      </c>
      <c r="E16" s="263" t="s">
        <v>586</v>
      </c>
      <c r="F16" s="271" t="s">
        <v>583</v>
      </c>
      <c r="G16" s="263" t="s">
        <v>758</v>
      </c>
      <c r="H16" s="271" t="s">
        <v>583</v>
      </c>
      <c r="I16" s="265" t="s">
        <v>759</v>
      </c>
    </row>
    <row r="17" spans="1:9" s="266" customFormat="1" ht="18.75" customHeight="1" x14ac:dyDescent="0.2">
      <c r="A17" s="259">
        <v>25</v>
      </c>
      <c r="B17" s="260" t="s">
        <v>587</v>
      </c>
      <c r="C17" s="261" t="s">
        <v>582</v>
      </c>
      <c r="D17" s="271" t="s">
        <v>583</v>
      </c>
      <c r="E17" s="263" t="s">
        <v>588</v>
      </c>
      <c r="F17" s="271" t="s">
        <v>583</v>
      </c>
      <c r="G17" s="263" t="s">
        <v>760</v>
      </c>
      <c r="H17" s="271" t="s">
        <v>583</v>
      </c>
      <c r="I17" s="265" t="s">
        <v>761</v>
      </c>
    </row>
    <row r="18" spans="1:9" s="266" customFormat="1" ht="18.75" customHeight="1" x14ac:dyDescent="0.2">
      <c r="A18" s="259">
        <v>30</v>
      </c>
      <c r="B18" s="260" t="s">
        <v>364</v>
      </c>
      <c r="C18" s="261" t="s">
        <v>364</v>
      </c>
      <c r="D18" s="262">
        <f>(0.29+49*D63)/39.32</f>
        <v>9.7028524786230794E-2</v>
      </c>
      <c r="E18" s="263" t="s">
        <v>589</v>
      </c>
      <c r="F18" s="264">
        <f>(0.29+49*$H$63)/39.32</f>
        <v>6.4967450947068267E-2</v>
      </c>
      <c r="G18" s="263" t="s">
        <v>591</v>
      </c>
      <c r="H18" s="264">
        <f>(0.29+2/3*49*$H$63)/39.32</f>
        <v>4.5770094459795255E-2</v>
      </c>
      <c r="I18" s="265" t="s">
        <v>590</v>
      </c>
    </row>
    <row r="19" spans="1:9" s="266" customFormat="1" ht="18.75" customHeight="1" x14ac:dyDescent="0.2">
      <c r="A19" s="259">
        <v>31</v>
      </c>
      <c r="B19" s="260" t="s">
        <v>592</v>
      </c>
      <c r="C19" s="261" t="s">
        <v>592</v>
      </c>
      <c r="D19" s="262">
        <f>D66</f>
        <v>82.347219730941731</v>
      </c>
      <c r="E19" s="263" t="s">
        <v>593</v>
      </c>
      <c r="F19" s="264">
        <f>$H$66</f>
        <v>137.02218409426985</v>
      </c>
      <c r="G19" s="263" t="s">
        <v>595</v>
      </c>
      <c r="H19" s="264">
        <f>2/3*$H$66</f>
        <v>91.348122729513221</v>
      </c>
      <c r="I19" s="265" t="s">
        <v>594</v>
      </c>
    </row>
    <row r="20" spans="1:9" s="266" customFormat="1" ht="18.75" customHeight="1" x14ac:dyDescent="0.2">
      <c r="A20" s="259">
        <v>32</v>
      </c>
      <c r="B20" s="260" t="s">
        <v>762</v>
      </c>
      <c r="C20" s="261" t="s">
        <v>592</v>
      </c>
      <c r="D20" s="262">
        <f>D66*D65</f>
        <v>29.644999103139021</v>
      </c>
      <c r="E20" s="263" t="s">
        <v>763</v>
      </c>
      <c r="F20" s="264">
        <f>F47*H65</f>
        <v>49.327986273937142</v>
      </c>
      <c r="G20" s="263" t="s">
        <v>764</v>
      </c>
      <c r="H20" s="264">
        <f>2/3*F47*H65</f>
        <v>32.885324182624757</v>
      </c>
      <c r="I20" s="263" t="s">
        <v>765</v>
      </c>
    </row>
    <row r="21" spans="1:9" s="266" customFormat="1" ht="18.75" customHeight="1" x14ac:dyDescent="0.2">
      <c r="A21" s="259">
        <v>35</v>
      </c>
      <c r="B21" s="260" t="s">
        <v>596</v>
      </c>
      <c r="C21" s="261" t="s">
        <v>597</v>
      </c>
      <c r="D21" s="262">
        <f>D64/D75*1000 - 2/3 * 1000*D60/D76</f>
        <v>196.11439702472563</v>
      </c>
      <c r="E21" s="272" t="s">
        <v>598</v>
      </c>
      <c r="F21" s="264">
        <f>H64/D75*1000 - 2/3 * 1000*H60/D76</f>
        <v>127.89138049277614</v>
      </c>
      <c r="G21" s="272" t="s">
        <v>600</v>
      </c>
      <c r="H21" s="264">
        <f>(2/3 * H64)/D75*1000 - 2/3 * 1000*(2/3 * H60)/D76</f>
        <v>85.260920328517429</v>
      </c>
      <c r="I21" s="273" t="s">
        <v>599</v>
      </c>
    </row>
    <row r="22" spans="1:9" s="266" customFormat="1" ht="18.75" customHeight="1" x14ac:dyDescent="0.2">
      <c r="A22" s="259">
        <v>36</v>
      </c>
      <c r="B22" s="260" t="s">
        <v>601</v>
      </c>
      <c r="C22" s="261" t="s">
        <v>602</v>
      </c>
      <c r="D22" s="262">
        <f>D73</f>
        <v>9.7600000000000006E-2</v>
      </c>
      <c r="E22" s="272" t="s">
        <v>603</v>
      </c>
      <c r="F22" s="262">
        <f>H73</f>
        <v>0.10702199033329711</v>
      </c>
      <c r="G22" s="272" t="s">
        <v>605</v>
      </c>
      <c r="H22" s="264">
        <f>2/3 * H73</f>
        <v>7.1347993555531397E-2</v>
      </c>
      <c r="I22" s="273" t="s">
        <v>604</v>
      </c>
    </row>
    <row r="23" spans="1:9" s="266" customFormat="1" ht="18.75" customHeight="1" x14ac:dyDescent="0.2">
      <c r="A23" s="259">
        <v>37</v>
      </c>
      <c r="B23" s="260" t="s">
        <v>607</v>
      </c>
      <c r="C23" s="261" t="s">
        <v>602</v>
      </c>
      <c r="D23" s="262">
        <f>0.57*D73+0.43*D74</f>
        <v>9.8718E-2</v>
      </c>
      <c r="E23" s="272" t="s">
        <v>608</v>
      </c>
      <c r="F23" s="262">
        <f>0.57*H73+0.43*H74</f>
        <v>0.10561004902350052</v>
      </c>
      <c r="G23" s="272" t="s">
        <v>610</v>
      </c>
      <c r="H23" s="264">
        <f>2/3*(0.57*H73+0.43*H74)</f>
        <v>7.0406699349000346E-2</v>
      </c>
      <c r="I23" s="273" t="s">
        <v>609</v>
      </c>
    </row>
    <row r="24" spans="1:9" s="266" customFormat="1" ht="18.75" customHeight="1" x14ac:dyDescent="0.2">
      <c r="A24" s="259">
        <v>38</v>
      </c>
      <c r="B24" s="260" t="s">
        <v>611</v>
      </c>
      <c r="C24" s="261" t="s">
        <v>253</v>
      </c>
      <c r="D24" s="264">
        <f>3.48*D64</f>
        <v>0.27820238438339218</v>
      </c>
      <c r="E24" s="272" t="s">
        <v>612</v>
      </c>
      <c r="F24" s="264">
        <f>3.48*H64</f>
        <v>0.17871376792738272</v>
      </c>
      <c r="G24" s="272" t="s">
        <v>614</v>
      </c>
      <c r="H24" s="264">
        <f>3.48*2/3*H64</f>
        <v>0.11914251195158847</v>
      </c>
      <c r="I24" s="273" t="s">
        <v>613</v>
      </c>
    </row>
    <row r="25" spans="1:9" s="266" customFormat="1" ht="18.75" customHeight="1" x14ac:dyDescent="0.2">
      <c r="A25" s="259">
        <v>39</v>
      </c>
      <c r="B25" s="260" t="s">
        <v>615</v>
      </c>
      <c r="C25" s="261" t="s">
        <v>143</v>
      </c>
      <c r="D25" s="264">
        <f>D64</f>
        <v>7.9943213903273622E-2</v>
      </c>
      <c r="E25" s="272" t="s">
        <v>616</v>
      </c>
      <c r="F25" s="264">
        <f>H64</f>
        <v>5.1354531013615722E-2</v>
      </c>
      <c r="G25" s="272" t="s">
        <v>618</v>
      </c>
      <c r="H25" s="264">
        <f>2/3*H64</f>
        <v>3.4236354009077145E-2</v>
      </c>
      <c r="I25" s="273" t="s">
        <v>617</v>
      </c>
    </row>
    <row r="26" spans="1:9" s="266" customFormat="1" ht="18.75" customHeight="1" x14ac:dyDescent="0.2">
      <c r="A26" s="259">
        <v>40</v>
      </c>
      <c r="B26" s="260" t="s">
        <v>619</v>
      </c>
      <c r="C26" s="261" t="s">
        <v>602</v>
      </c>
      <c r="D26" s="262">
        <f>D64+0.00319</f>
        <v>8.313321390327362E-2</v>
      </c>
      <c r="E26" s="263" t="s">
        <v>620</v>
      </c>
      <c r="F26" s="264">
        <f>H64+0.00319</f>
        <v>5.454453101361572E-2</v>
      </c>
      <c r="G26" s="263" t="s">
        <v>622</v>
      </c>
      <c r="H26" s="264">
        <f>2/3*H64+0.00319</f>
        <v>3.7426354009077144E-2</v>
      </c>
      <c r="I26" s="265" t="s">
        <v>621</v>
      </c>
    </row>
    <row r="27" spans="1:9" s="266" customFormat="1" ht="18.75" customHeight="1" x14ac:dyDescent="0.2">
      <c r="A27" s="259">
        <v>42</v>
      </c>
      <c r="B27" s="260" t="s">
        <v>623</v>
      </c>
      <c r="C27" s="261" t="s">
        <v>602</v>
      </c>
      <c r="D27" s="262">
        <f>0.3*D73+0.7*D74</f>
        <v>9.9419999999999994E-2</v>
      </c>
      <c r="E27" s="263" t="s">
        <v>624</v>
      </c>
      <c r="F27" s="262">
        <f>0.3*H73+0.7*H74</f>
        <v>0.10472348122432591</v>
      </c>
      <c r="G27" s="263" t="s">
        <v>626</v>
      </c>
      <c r="H27" s="262">
        <f>2/3*(0.3*H73+0.7*H74)</f>
        <v>6.9815654149550599E-2</v>
      </c>
      <c r="I27" s="265" t="s">
        <v>625</v>
      </c>
    </row>
    <row r="28" spans="1:9" s="266" customFormat="1" ht="18.75" customHeight="1" x14ac:dyDescent="0.2">
      <c r="A28" s="274">
        <v>43</v>
      </c>
      <c r="B28" s="270" t="s">
        <v>766</v>
      </c>
      <c r="C28" s="275" t="s">
        <v>592</v>
      </c>
      <c r="D28" s="262">
        <v>0</v>
      </c>
      <c r="E28" s="276" t="s">
        <v>767</v>
      </c>
      <c r="F28" s="262">
        <v>0</v>
      </c>
      <c r="G28" s="276" t="s">
        <v>767</v>
      </c>
      <c r="H28" s="264">
        <v>0</v>
      </c>
      <c r="I28" s="277" t="s">
        <v>767</v>
      </c>
    </row>
    <row r="29" spans="1:9" s="266" customFormat="1" ht="18.75" customHeight="1" x14ac:dyDescent="0.2">
      <c r="A29" s="274">
        <v>44</v>
      </c>
      <c r="B29" s="270" t="s">
        <v>768</v>
      </c>
      <c r="C29" s="261" t="s">
        <v>597</v>
      </c>
      <c r="D29" s="262">
        <f>D64/D75*1000 - 2/3 * 1000*D60/D76 + D80</f>
        <v>211.11439702472563</v>
      </c>
      <c r="E29" s="272" t="s">
        <v>628</v>
      </c>
      <c r="F29" s="264">
        <f>H64/D75*1000 - 2/3 * 1000*H60/D76 + D80</f>
        <v>142.89138049277614</v>
      </c>
      <c r="G29" s="272" t="s">
        <v>630</v>
      </c>
      <c r="H29" s="264">
        <f>(2/3 * H64)/D75*1000 - 2/3 * 1000*(2/3 * H60)/D76 + D80</f>
        <v>100.26092032851743</v>
      </c>
      <c r="I29" s="273" t="s">
        <v>629</v>
      </c>
    </row>
    <row r="30" spans="1:9" s="266" customFormat="1" ht="18.75" customHeight="1" thickBot="1" x14ac:dyDescent="0.25">
      <c r="A30" s="278">
        <v>45</v>
      </c>
      <c r="B30" s="279" t="s">
        <v>769</v>
      </c>
      <c r="C30" s="280" t="s">
        <v>597</v>
      </c>
      <c r="D30" s="281">
        <f>D64/D75*1000 - 0.9 * 1000*D60/D76 + D81</f>
        <v>148.36724373197066</v>
      </c>
      <c r="E30" s="282" t="s">
        <v>631</v>
      </c>
      <c r="F30" s="283">
        <f>H64/D75*1000 - 0.9 * 1000*H60/D76 + H81</f>
        <v>105.17902063716451</v>
      </c>
      <c r="G30" s="282" t="s">
        <v>633</v>
      </c>
      <c r="H30" s="283">
        <f>(2/3 * H64)/D75*1000 - 0.9 * 1000*(2/3 * H60)/D76 + (2/3 * H81)</f>
        <v>70.119347091443004</v>
      </c>
      <c r="I30" s="284" t="s">
        <v>632</v>
      </c>
    </row>
    <row r="31" spans="1:9" s="266" customFormat="1" ht="18.75" customHeight="1" thickBot="1" x14ac:dyDescent="0.25">
      <c r="A31" s="285"/>
      <c r="D31" s="286"/>
      <c r="E31" s="287"/>
      <c r="F31" s="286"/>
      <c r="G31" s="287"/>
      <c r="H31" s="288"/>
      <c r="I31" s="287"/>
    </row>
    <row r="32" spans="1:9" s="266" customFormat="1" ht="18.75" customHeight="1" x14ac:dyDescent="0.25">
      <c r="A32" s="248" t="s">
        <v>770</v>
      </c>
      <c r="B32" s="289"/>
      <c r="C32" s="250"/>
      <c r="D32" s="250" t="s">
        <v>771</v>
      </c>
      <c r="E32" s="290"/>
      <c r="F32" s="546" t="str">
        <f>+"Langetermijnprijs SDE++ 2024 (t.b.v. rangschikking)"</f>
        <v>Langetermijnprijs SDE++ 2024 (t.b.v. rangschikking)</v>
      </c>
      <c r="G32" s="547"/>
    </row>
    <row r="33" spans="1:17" s="266" customFormat="1" ht="18.75" customHeight="1" x14ac:dyDescent="0.2">
      <c r="A33" s="252" t="s">
        <v>544</v>
      </c>
      <c r="B33" s="253" t="s">
        <v>545</v>
      </c>
      <c r="C33" s="291" t="s">
        <v>772</v>
      </c>
      <c r="D33" s="253" t="s">
        <v>547</v>
      </c>
      <c r="E33" s="292" t="s">
        <v>773</v>
      </c>
      <c r="F33" s="255" t="s">
        <v>547</v>
      </c>
      <c r="G33" s="257" t="s">
        <v>548</v>
      </c>
    </row>
    <row r="34" spans="1:17" s="266" customFormat="1" ht="18.75" customHeight="1" x14ac:dyDescent="0.2">
      <c r="A34" s="259">
        <v>4</v>
      </c>
      <c r="B34" s="260" t="s">
        <v>552</v>
      </c>
      <c r="C34" s="293" t="s">
        <v>774</v>
      </c>
      <c r="D34" s="262">
        <f>$D$77</f>
        <v>4.0000000000000001E-3</v>
      </c>
      <c r="E34" s="270" t="s">
        <v>556</v>
      </c>
      <c r="F34" s="262">
        <f>$D$77</f>
        <v>4.0000000000000001E-3</v>
      </c>
      <c r="G34" s="294" t="s">
        <v>775</v>
      </c>
    </row>
    <row r="35" spans="1:17" s="266" customFormat="1" ht="18.75" customHeight="1" x14ac:dyDescent="0.2">
      <c r="A35" s="259">
        <v>6</v>
      </c>
      <c r="B35" s="260" t="s">
        <v>557</v>
      </c>
      <c r="C35" s="293" t="s">
        <v>774</v>
      </c>
      <c r="D35" s="262">
        <f>$D$77</f>
        <v>4.0000000000000001E-3</v>
      </c>
      <c r="E35" s="270" t="s">
        <v>556</v>
      </c>
      <c r="F35" s="262">
        <f>$D$77</f>
        <v>4.0000000000000001E-3</v>
      </c>
      <c r="G35" s="294" t="s">
        <v>775</v>
      </c>
    </row>
    <row r="36" spans="1:17" ht="18.75" customHeight="1" thickBot="1" x14ac:dyDescent="0.25"/>
    <row r="37" spans="1:17" s="266" customFormat="1" ht="18.75" customHeight="1" x14ac:dyDescent="0.25">
      <c r="A37" s="248" t="s">
        <v>776</v>
      </c>
      <c r="B37" s="289"/>
      <c r="C37" s="250"/>
      <c r="D37" s="250" t="s">
        <v>771</v>
      </c>
      <c r="E37" s="290"/>
      <c r="F37" s="546" t="str">
        <f>+"Langetermijnprijs SDE++ 2024 (t.b.v. rangschikking)"</f>
        <v>Langetermijnprijs SDE++ 2024 (t.b.v. rangschikking)</v>
      </c>
      <c r="G37" s="547"/>
    </row>
    <row r="38" spans="1:17" s="266" customFormat="1" ht="18.75" customHeight="1" x14ac:dyDescent="0.2">
      <c r="A38" s="252" t="s">
        <v>544</v>
      </c>
      <c r="B38" s="253" t="s">
        <v>545</v>
      </c>
      <c r="C38" s="291" t="s">
        <v>772</v>
      </c>
      <c r="D38" s="253" t="s">
        <v>547</v>
      </c>
      <c r="E38" s="292" t="s">
        <v>773</v>
      </c>
      <c r="F38" s="255" t="s">
        <v>547</v>
      </c>
      <c r="G38" s="257" t="s">
        <v>548</v>
      </c>
    </row>
    <row r="39" spans="1:17" s="266" customFormat="1" ht="18.75" customHeight="1" x14ac:dyDescent="0.2">
      <c r="A39" s="259">
        <v>36</v>
      </c>
      <c r="B39" s="260" t="s">
        <v>601</v>
      </c>
      <c r="C39" s="297" t="s">
        <v>606</v>
      </c>
      <c r="D39" s="262">
        <f>$D$78</f>
        <v>8.3900000000000002E-2</v>
      </c>
      <c r="E39" s="298" t="s">
        <v>606</v>
      </c>
      <c r="F39" s="262">
        <f>$D$78</f>
        <v>8.3900000000000002E-2</v>
      </c>
      <c r="G39" s="294" t="s">
        <v>775</v>
      </c>
    </row>
    <row r="40" spans="1:17" s="266" customFormat="1" ht="18.75" customHeight="1" x14ac:dyDescent="0.2">
      <c r="A40" s="259">
        <v>37</v>
      </c>
      <c r="B40" s="260" t="s">
        <v>607</v>
      </c>
      <c r="C40" s="297" t="s">
        <v>606</v>
      </c>
      <c r="D40" s="262">
        <f>$D$78</f>
        <v>8.3900000000000002E-2</v>
      </c>
      <c r="E40" s="298" t="s">
        <v>606</v>
      </c>
      <c r="F40" s="262">
        <f>$D$78</f>
        <v>8.3900000000000002E-2</v>
      </c>
      <c r="G40" s="294" t="s">
        <v>775</v>
      </c>
    </row>
    <row r="41" spans="1:17" s="266" customFormat="1" ht="18.75" customHeight="1" x14ac:dyDescent="0.2">
      <c r="A41" s="259">
        <v>40</v>
      </c>
      <c r="B41" s="260" t="s">
        <v>619</v>
      </c>
      <c r="C41" s="297" t="s">
        <v>606</v>
      </c>
      <c r="D41" s="262">
        <f>$D$78</f>
        <v>8.3900000000000002E-2</v>
      </c>
      <c r="E41" s="298" t="s">
        <v>606</v>
      </c>
      <c r="F41" s="262">
        <f>$D$78</f>
        <v>8.3900000000000002E-2</v>
      </c>
      <c r="G41" s="294" t="s">
        <v>775</v>
      </c>
    </row>
    <row r="42" spans="1:17" s="266" customFormat="1" ht="18.75" customHeight="1" thickBot="1" x14ac:dyDescent="0.25">
      <c r="A42" s="299">
        <v>42</v>
      </c>
      <c r="B42" s="300" t="s">
        <v>623</v>
      </c>
      <c r="C42" s="301" t="s">
        <v>606</v>
      </c>
      <c r="D42" s="281">
        <f>$D$78</f>
        <v>8.3900000000000002E-2</v>
      </c>
      <c r="E42" s="302" t="s">
        <v>606</v>
      </c>
      <c r="F42" s="281">
        <f>$D$78</f>
        <v>8.3900000000000002E-2</v>
      </c>
      <c r="G42" s="303" t="s">
        <v>775</v>
      </c>
    </row>
    <row r="43" spans="1:17" s="266" customFormat="1" ht="18.75" customHeight="1" thickBot="1" x14ac:dyDescent="0.25">
      <c r="A43" s="304"/>
      <c r="B43" s="305"/>
      <c r="C43" s="304"/>
      <c r="D43" s="306"/>
      <c r="E43" s="307"/>
      <c r="F43" s="306"/>
      <c r="I43" s="287"/>
    </row>
    <row r="44" spans="1:17" s="266" customFormat="1" ht="18.75" customHeight="1" x14ac:dyDescent="0.25">
      <c r="A44" s="248" t="s">
        <v>777</v>
      </c>
      <c r="B44" s="289"/>
      <c r="C44" s="250"/>
      <c r="D44" s="250" t="s">
        <v>771</v>
      </c>
      <c r="E44" s="290"/>
      <c r="F44" s="546" t="str">
        <f>+"Langetermijnprijs SDE++ 2024 (t.b.v. rangschikking)"</f>
        <v>Langetermijnprijs SDE++ 2024 (t.b.v. rangschikking)</v>
      </c>
      <c r="G44" s="547"/>
    </row>
    <row r="45" spans="1:17" s="266" customFormat="1" ht="18.75" customHeight="1" x14ac:dyDescent="0.2">
      <c r="A45" s="252" t="s">
        <v>778</v>
      </c>
      <c r="B45" s="253" t="s">
        <v>545</v>
      </c>
      <c r="C45" s="291" t="s">
        <v>634</v>
      </c>
      <c r="D45" s="253" t="s">
        <v>547</v>
      </c>
      <c r="E45" s="292" t="s">
        <v>773</v>
      </c>
      <c r="F45" s="255" t="s">
        <v>547</v>
      </c>
      <c r="G45" s="257" t="s">
        <v>548</v>
      </c>
    </row>
    <row r="46" spans="1:17" s="266" customFormat="1" ht="18.75" customHeight="1" x14ac:dyDescent="0.2">
      <c r="A46" s="259">
        <v>0</v>
      </c>
      <c r="B46" s="260" t="s">
        <v>779</v>
      </c>
      <c r="C46" s="297"/>
      <c r="D46" s="262">
        <v>0</v>
      </c>
      <c r="E46" s="298">
        <v>0</v>
      </c>
      <c r="F46" s="262">
        <v>0</v>
      </c>
      <c r="G46" s="308">
        <v>0</v>
      </c>
      <c r="Q46" s="287"/>
    </row>
    <row r="47" spans="1:17" s="266" customFormat="1" ht="18.75" customHeight="1" x14ac:dyDescent="0.35">
      <c r="A47" s="259">
        <v>1</v>
      </c>
      <c r="B47" s="260" t="s">
        <v>780</v>
      </c>
      <c r="C47" s="297" t="s">
        <v>781</v>
      </c>
      <c r="D47" s="262">
        <f>D66</f>
        <v>82.347219730941731</v>
      </c>
      <c r="E47" s="298" t="s">
        <v>593</v>
      </c>
      <c r="F47" s="262">
        <f>H66</f>
        <v>137.02218409426985</v>
      </c>
      <c r="G47" s="308" t="s">
        <v>595</v>
      </c>
      <c r="Q47" s="287"/>
    </row>
    <row r="48" spans="1:17" s="266" customFormat="1" ht="18.75" customHeight="1" x14ac:dyDescent="0.35">
      <c r="A48" s="259">
        <v>2</v>
      </c>
      <c r="B48" s="260" t="s">
        <v>782</v>
      </c>
      <c r="C48" s="297" t="s">
        <v>783</v>
      </c>
      <c r="D48" s="262">
        <f>D83</f>
        <v>1.8544593883408077E-2</v>
      </c>
      <c r="E48" s="298" t="s">
        <v>784</v>
      </c>
      <c r="F48" s="262">
        <f>H83</f>
        <v>3.0857395858029563E-2</v>
      </c>
      <c r="G48" s="308" t="s">
        <v>785</v>
      </c>
      <c r="Q48" s="287"/>
    </row>
    <row r="49" spans="1:17" s="266" customFormat="1" ht="18.75" customHeight="1" x14ac:dyDescent="0.35">
      <c r="A49" s="259">
        <v>4</v>
      </c>
      <c r="B49" s="260" t="s">
        <v>786</v>
      </c>
      <c r="C49" s="297" t="s">
        <v>787</v>
      </c>
      <c r="D49" s="262">
        <f>D89*3.6/1000*D79/1000*D66*(1-D87)</f>
        <v>5.8081668042834107E-2</v>
      </c>
      <c r="E49" s="298" t="s">
        <v>788</v>
      </c>
      <c r="F49" s="262">
        <f>H89*3.6/1000*D79/1000*H66*(1-H87)</f>
        <v>9.6645363827348618E-2</v>
      </c>
      <c r="G49" s="308" t="s">
        <v>789</v>
      </c>
      <c r="Q49" s="287"/>
    </row>
    <row r="50" spans="1:17" s="266" customFormat="1" ht="18.75" customHeight="1" x14ac:dyDescent="0.35">
      <c r="A50" s="259">
        <v>5</v>
      </c>
      <c r="B50" s="260" t="s">
        <v>790</v>
      </c>
      <c r="C50" s="297" t="s">
        <v>783</v>
      </c>
      <c r="D50" s="262">
        <f>D83*D84</f>
        <v>5.5633781650224227E-3</v>
      </c>
      <c r="E50" s="298" t="s">
        <v>791</v>
      </c>
      <c r="F50" s="262">
        <f>H83*H84</f>
        <v>9.2572187574088693E-3</v>
      </c>
      <c r="G50" s="308" t="s">
        <v>792</v>
      </c>
      <c r="Q50" s="287"/>
    </row>
    <row r="51" spans="1:17" s="266" customFormat="1" ht="18.75" customHeight="1" x14ac:dyDescent="0.35">
      <c r="A51" s="259">
        <v>6</v>
      </c>
      <c r="B51" s="260" t="s">
        <v>793</v>
      </c>
      <c r="C51" s="297" t="s">
        <v>783</v>
      </c>
      <c r="D51" s="271" t="s">
        <v>583</v>
      </c>
      <c r="E51" s="298" t="s">
        <v>794</v>
      </c>
      <c r="F51" s="271" t="s">
        <v>583</v>
      </c>
      <c r="G51" s="308" t="s">
        <v>795</v>
      </c>
      <c r="Q51" s="287"/>
    </row>
    <row r="52" spans="1:17" s="266" customFormat="1" ht="18.75" customHeight="1" x14ac:dyDescent="0.35">
      <c r="A52" s="259">
        <v>7</v>
      </c>
      <c r="B52" s="260" t="s">
        <v>796</v>
      </c>
      <c r="C52" s="297" t="s">
        <v>783</v>
      </c>
      <c r="D52" s="271" t="s">
        <v>583</v>
      </c>
      <c r="E52" s="298" t="s">
        <v>797</v>
      </c>
      <c r="F52" s="271" t="s">
        <v>583</v>
      </c>
      <c r="G52" s="308" t="s">
        <v>798</v>
      </c>
      <c r="Q52" s="287"/>
    </row>
    <row r="53" spans="1:17" s="266" customFormat="1" ht="18.75" customHeight="1" x14ac:dyDescent="0.35">
      <c r="A53" s="259">
        <v>8</v>
      </c>
      <c r="B53" s="260" t="s">
        <v>799</v>
      </c>
      <c r="C53" s="297" t="s">
        <v>783</v>
      </c>
      <c r="D53" s="262">
        <f>D83*D85</f>
        <v>1.8544593883408078E-3</v>
      </c>
      <c r="E53" s="298" t="s">
        <v>800</v>
      </c>
      <c r="F53" s="262">
        <f>H83*H85</f>
        <v>3.0857395858029566E-3</v>
      </c>
      <c r="G53" s="308" t="s">
        <v>801</v>
      </c>
      <c r="Q53" s="287"/>
    </row>
    <row r="54" spans="1:17" s="266" customFormat="1" ht="18.75" customHeight="1" x14ac:dyDescent="0.35">
      <c r="A54" s="259">
        <v>9</v>
      </c>
      <c r="B54" s="260" t="s">
        <v>802</v>
      </c>
      <c r="C54" s="297" t="s">
        <v>783</v>
      </c>
      <c r="D54" s="271" t="s">
        <v>583</v>
      </c>
      <c r="E54" s="298" t="s">
        <v>803</v>
      </c>
      <c r="F54" s="271" t="s">
        <v>583</v>
      </c>
      <c r="G54" s="308" t="s">
        <v>804</v>
      </c>
      <c r="Q54" s="287"/>
    </row>
    <row r="55" spans="1:17" s="266" customFormat="1" ht="18.75" customHeight="1" x14ac:dyDescent="0.35">
      <c r="A55" s="259">
        <v>10</v>
      </c>
      <c r="B55" s="260" t="s">
        <v>805</v>
      </c>
      <c r="C55" s="297" t="s">
        <v>783</v>
      </c>
      <c r="D55" s="262">
        <f>D83*D86*(1-D84)</f>
        <v>6.4906078591928269E-3</v>
      </c>
      <c r="E55" s="298" t="s">
        <v>806</v>
      </c>
      <c r="F55" s="262">
        <f>H83*H86*(1-H84)</f>
        <v>1.0800088550310347E-2</v>
      </c>
      <c r="G55" s="308" t="s">
        <v>807</v>
      </c>
      <c r="Q55" s="287"/>
    </row>
    <row r="56" spans="1:17" s="266" customFormat="1" ht="18.75" customHeight="1" thickBot="1" x14ac:dyDescent="0.4">
      <c r="A56" s="299">
        <v>11</v>
      </c>
      <c r="B56" s="300" t="s">
        <v>808</v>
      </c>
      <c r="C56" s="301" t="s">
        <v>809</v>
      </c>
      <c r="D56" s="281">
        <f>D66*D90/1000</f>
        <v>1.8857513318385657E-2</v>
      </c>
      <c r="E56" s="302" t="s">
        <v>810</v>
      </c>
      <c r="F56" s="281">
        <f>H66*H90/1000</f>
        <v>3.1378080157587793E-2</v>
      </c>
      <c r="G56" s="309" t="s">
        <v>810</v>
      </c>
      <c r="Q56" s="287"/>
    </row>
    <row r="57" spans="1:17" s="266" customFormat="1" ht="18.75" customHeight="1" thickBot="1" x14ac:dyDescent="0.25">
      <c r="A57" s="285"/>
      <c r="D57" s="286"/>
      <c r="E57" s="287"/>
      <c r="F57" s="288"/>
      <c r="G57" s="287"/>
      <c r="H57" s="286"/>
      <c r="I57" s="287"/>
    </row>
    <row r="58" spans="1:17" s="266" customFormat="1" ht="18.75" customHeight="1" x14ac:dyDescent="0.25">
      <c r="A58" s="310" t="s">
        <v>811</v>
      </c>
      <c r="B58" s="311"/>
      <c r="C58" s="249"/>
      <c r="D58" s="312"/>
      <c r="E58" s="290"/>
      <c r="F58" s="313"/>
      <c r="G58" s="314"/>
      <c r="H58" s="312"/>
      <c r="I58" s="315"/>
    </row>
    <row r="59" spans="1:17" s="266" customFormat="1" ht="18.75" customHeight="1" x14ac:dyDescent="0.2">
      <c r="A59" s="316" t="s">
        <v>812</v>
      </c>
      <c r="B59" s="317" t="s">
        <v>545</v>
      </c>
      <c r="C59" s="318" t="s">
        <v>634</v>
      </c>
      <c r="D59" s="318" t="s">
        <v>813</v>
      </c>
      <c r="E59" s="319" t="s">
        <v>814</v>
      </c>
      <c r="F59" s="320" t="s">
        <v>812</v>
      </c>
      <c r="G59" s="317" t="s">
        <v>545</v>
      </c>
      <c r="H59" s="317" t="s">
        <v>815</v>
      </c>
      <c r="I59" s="321" t="s">
        <v>814</v>
      </c>
    </row>
    <row r="60" spans="1:17" s="266" customFormat="1" ht="18.75" customHeight="1" x14ac:dyDescent="0.2">
      <c r="A60" s="322" t="s">
        <v>816</v>
      </c>
      <c r="B60" s="260" t="s">
        <v>635</v>
      </c>
      <c r="C60" s="297" t="s">
        <v>636</v>
      </c>
      <c r="D60" s="323">
        <v>0.14881171157450787</v>
      </c>
      <c r="E60" s="324" t="str">
        <f>"Gemiddelde EPEX (day-ahead) periode 1-9-2022 t/m 31-8-2023"</f>
        <v>Gemiddelde EPEX (day-ahead) periode 1-9-2022 t/m 31-8-2023</v>
      </c>
      <c r="F60" s="270" t="s">
        <v>551</v>
      </c>
      <c r="G60" s="260" t="s">
        <v>637</v>
      </c>
      <c r="H60" s="323">
        <v>9.3929844491986048E-2</v>
      </c>
      <c r="I60" s="308" t="str">
        <f>"Ongewogen gemiddelde reële prijzen elektriciteit basislast periode 2024-2038  (KEV2023)"</f>
        <v>Ongewogen gemiddelde reële prijzen elektriciteit basislast periode 2024-2038  (KEV2023)</v>
      </c>
    </row>
    <row r="61" spans="1:17" s="266" customFormat="1" ht="18.75" customHeight="1" x14ac:dyDescent="0.2">
      <c r="A61" s="322" t="s">
        <v>638</v>
      </c>
      <c r="B61" s="270" t="s">
        <v>639</v>
      </c>
      <c r="C61" s="325"/>
      <c r="D61" s="326">
        <v>0.745</v>
      </c>
      <c r="E61" s="324" t="str">
        <f>"Gemiddelde 1-1-2022 t/m 31-12-2022"</f>
        <v>Gemiddelde 1-1-2022 t/m 31-12-2022</v>
      </c>
      <c r="F61" s="270" t="s">
        <v>640</v>
      </c>
      <c r="G61" s="270" t="s">
        <v>641</v>
      </c>
      <c r="H61" s="326">
        <v>0.65401267208138403</v>
      </c>
      <c r="I61" s="308" t="str">
        <f>"Gemiddelde 2024-2038 (KEV2023)"</f>
        <v>Gemiddelde 2024-2038 (KEV2023)</v>
      </c>
    </row>
    <row r="62" spans="1:17" s="266" customFormat="1" ht="18.75" customHeight="1" x14ac:dyDescent="0.2">
      <c r="A62" s="322" t="s">
        <v>642</v>
      </c>
      <c r="B62" s="270" t="s">
        <v>643</v>
      </c>
      <c r="C62" s="325"/>
      <c r="D62" s="326">
        <v>0.83499999999999996</v>
      </c>
      <c r="E62" s="324" t="str">
        <f>"Gemiddelde 1-1-2022 t/m 31-12-2022"</f>
        <v>Gemiddelde 1-1-2022 t/m 31-12-2022</v>
      </c>
      <c r="F62" s="270" t="s">
        <v>644</v>
      </c>
      <c r="G62" s="270" t="s">
        <v>645</v>
      </c>
      <c r="H62" s="326">
        <v>0.78569328308602737</v>
      </c>
      <c r="I62" s="308" t="str">
        <f>"Gemiddelde 2024-2038 (KEV2023)"</f>
        <v>Gemiddelde 2024-2038 (KEV2023)</v>
      </c>
    </row>
    <row r="63" spans="1:17" s="266" customFormat="1" ht="18.75" customHeight="1" x14ac:dyDescent="0.35">
      <c r="A63" s="322" t="s">
        <v>566</v>
      </c>
      <c r="B63" s="270" t="s">
        <v>646</v>
      </c>
      <c r="C63" s="297" t="s">
        <v>817</v>
      </c>
      <c r="D63" s="327">
        <v>7.1942073359073364E-2</v>
      </c>
      <c r="E63" s="324" t="str">
        <f>"Gemiddelde TTF (Cal2024) periode 1-9-2022 t/m 31-8-2023"</f>
        <v>Gemiddelde TTF (Cal2024) periode 1-9-2022 t/m 31-8-2023</v>
      </c>
      <c r="F63" s="270" t="s">
        <v>568</v>
      </c>
      <c r="G63" s="260" t="s">
        <v>648</v>
      </c>
      <c r="H63" s="323">
        <v>4.6214697372218859E-2</v>
      </c>
      <c r="I63" s="308" t="str">
        <f>"Gemiddelde reële prijzen gas 2024-2038 (KEV2023)"</f>
        <v>Gemiddelde reële prijzen gas 2024-2038 (KEV2023)</v>
      </c>
    </row>
    <row r="64" spans="1:17" s="266" customFormat="1" ht="18.75" customHeight="1" x14ac:dyDescent="0.35">
      <c r="A64" s="322" t="s">
        <v>616</v>
      </c>
      <c r="B64" s="270" t="s">
        <v>647</v>
      </c>
      <c r="C64" s="297" t="s">
        <v>818</v>
      </c>
      <c r="D64" s="328">
        <f>D63*35.17/31.65</f>
        <v>7.9943213903273622E-2</v>
      </c>
      <c r="E64" s="324" t="str">
        <f>"Gemiddelde TTF (Cal2024) periode 1-9-2022 t/m 31-8-2023"</f>
        <v>Gemiddelde TTF (Cal2024) periode 1-9-2022 t/m 31-8-2023</v>
      </c>
      <c r="F64" s="270" t="s">
        <v>618</v>
      </c>
      <c r="G64" s="260" t="s">
        <v>649</v>
      </c>
      <c r="H64" s="328">
        <f>H63*35.17/31.65</f>
        <v>5.1354531013615722E-2</v>
      </c>
      <c r="I64" s="308" t="str">
        <f>"Gemiddelde reële prijzen gas 2024-2038 (KEV2023)"</f>
        <v>Gemiddelde reële prijzen gas 2024-2038 (KEV2023)</v>
      </c>
    </row>
    <row r="65" spans="1:9" s="266" customFormat="1" ht="18.75" customHeight="1" x14ac:dyDescent="0.2">
      <c r="A65" s="322" t="s">
        <v>819</v>
      </c>
      <c r="B65" s="270" t="s">
        <v>820</v>
      </c>
      <c r="C65" s="297"/>
      <c r="D65" s="329">
        <v>0.36</v>
      </c>
      <c r="E65" s="324" t="s">
        <v>821</v>
      </c>
      <c r="F65" s="270" t="s">
        <v>819</v>
      </c>
      <c r="G65" s="324" t="s">
        <v>821</v>
      </c>
      <c r="H65" s="330">
        <f t="shared" ref="H65" si="0">D65</f>
        <v>0.36</v>
      </c>
      <c r="I65" s="294" t="s">
        <v>775</v>
      </c>
    </row>
    <row r="66" spans="1:9" s="266" customFormat="1" ht="18.75" customHeight="1" x14ac:dyDescent="0.35">
      <c r="A66" s="322" t="s">
        <v>593</v>
      </c>
      <c r="B66" s="270" t="s">
        <v>650</v>
      </c>
      <c r="C66" s="297" t="s">
        <v>822</v>
      </c>
      <c r="D66" s="323">
        <v>82.347219730941731</v>
      </c>
      <c r="E66" s="324" t="str">
        <f>"Gemiddelde EUA-prijs 1-9-2022 t/m 31-8-2023"</f>
        <v>Gemiddelde EUA-prijs 1-9-2022 t/m 31-8-2023</v>
      </c>
      <c r="F66" s="270" t="s">
        <v>595</v>
      </c>
      <c r="G66" s="270" t="s">
        <v>651</v>
      </c>
      <c r="H66" s="323">
        <v>137.02218409426985</v>
      </c>
      <c r="I66" s="308" t="str">
        <f>"Gemiddelde reële EUA-prijs  2024-2038 (KEV2023)"</f>
        <v>Gemiddelde reële EUA-prijs  2024-2038 (KEV2023)</v>
      </c>
    </row>
    <row r="67" spans="1:9" s="266" customFormat="1" ht="18.75" customHeight="1" x14ac:dyDescent="0.2">
      <c r="A67" s="322" t="s">
        <v>652</v>
      </c>
      <c r="B67" s="270" t="s">
        <v>653</v>
      </c>
      <c r="C67" s="297" t="s">
        <v>636</v>
      </c>
      <c r="D67" s="323">
        <v>1.37E-2</v>
      </c>
      <c r="E67" s="324" t="str">
        <f>"Gemiddelde van gepubliceerde tarieven netbeheerders 2023"</f>
        <v>Gemiddelde van gepubliceerde tarieven netbeheerders 2023</v>
      </c>
      <c r="F67" s="270" t="s">
        <v>652</v>
      </c>
      <c r="G67" s="270" t="s">
        <v>823</v>
      </c>
      <c r="H67" s="331">
        <f>D67</f>
        <v>1.37E-2</v>
      </c>
      <c r="I67" s="294" t="s">
        <v>775</v>
      </c>
    </row>
    <row r="68" spans="1:9" s="266" customFormat="1" ht="18.75" customHeight="1" x14ac:dyDescent="0.2">
      <c r="A68" s="322" t="s">
        <v>654</v>
      </c>
      <c r="B68" s="270" t="s">
        <v>655</v>
      </c>
      <c r="C68" s="325"/>
      <c r="D68" s="332"/>
      <c r="E68" s="324" t="s">
        <v>656</v>
      </c>
      <c r="F68" s="270" t="s">
        <v>654</v>
      </c>
      <c r="G68" s="270" t="s">
        <v>655</v>
      </c>
      <c r="H68" s="333"/>
      <c r="I68" s="308" t="s">
        <v>824</v>
      </c>
    </row>
    <row r="69" spans="1:9" s="266" customFormat="1" ht="18.75" customHeight="1" x14ac:dyDescent="0.2">
      <c r="A69" s="322" t="s">
        <v>657</v>
      </c>
      <c r="B69" s="270" t="s">
        <v>658</v>
      </c>
      <c r="C69" s="334" t="s">
        <v>636</v>
      </c>
      <c r="D69" s="335">
        <v>3.9419999999999997E-2</v>
      </c>
      <c r="E69" s="324" t="str">
        <f>"Tarief 2023"</f>
        <v>Tarief 2023</v>
      </c>
      <c r="F69" s="270" t="s">
        <v>657</v>
      </c>
      <c r="G69" s="270" t="s">
        <v>658</v>
      </c>
      <c r="H69" s="331">
        <f>D69</f>
        <v>3.9419999999999997E-2</v>
      </c>
      <c r="I69" s="294" t="s">
        <v>775</v>
      </c>
    </row>
    <row r="70" spans="1:9" s="266" customFormat="1" ht="18.75" customHeight="1" x14ac:dyDescent="0.2">
      <c r="A70" s="322" t="s">
        <v>659</v>
      </c>
      <c r="B70" s="270" t="s">
        <v>660</v>
      </c>
      <c r="C70" s="334" t="s">
        <v>818</v>
      </c>
      <c r="D70" s="335">
        <v>5.5711848341232197E-2</v>
      </c>
      <c r="E70" s="324" t="str">
        <f t="shared" ref="E70:E72" si="1">"Tarief 2023"</f>
        <v>Tarief 2023</v>
      </c>
      <c r="F70" s="270" t="s">
        <v>659</v>
      </c>
      <c r="G70" s="270" t="s">
        <v>660</v>
      </c>
      <c r="H70" s="331">
        <f t="shared" ref="H70:H72" si="2">D70</f>
        <v>5.5711848341232197E-2</v>
      </c>
      <c r="I70" s="294" t="s">
        <v>775</v>
      </c>
    </row>
    <row r="71" spans="1:9" s="266" customFormat="1" ht="18.75" customHeight="1" x14ac:dyDescent="0.2">
      <c r="A71" s="322" t="s">
        <v>661</v>
      </c>
      <c r="B71" s="270" t="s">
        <v>662</v>
      </c>
      <c r="C71" s="334" t="s">
        <v>818</v>
      </c>
      <c r="D71" s="335">
        <v>1.0943317535545E-2</v>
      </c>
      <c r="E71" s="324" t="str">
        <f t="shared" si="1"/>
        <v>Tarief 2023</v>
      </c>
      <c r="F71" s="270" t="s">
        <v>661</v>
      </c>
      <c r="G71" s="270" t="s">
        <v>662</v>
      </c>
      <c r="H71" s="331">
        <f t="shared" si="2"/>
        <v>1.0943317535545E-2</v>
      </c>
      <c r="I71" s="294" t="s">
        <v>775</v>
      </c>
    </row>
    <row r="72" spans="1:9" s="266" customFormat="1" ht="18.75" customHeight="1" x14ac:dyDescent="0.2">
      <c r="A72" s="322" t="s">
        <v>663</v>
      </c>
      <c r="B72" s="270" t="s">
        <v>664</v>
      </c>
      <c r="C72" s="334" t="s">
        <v>818</v>
      </c>
      <c r="D72" s="335">
        <v>5.8111848341232198E-3</v>
      </c>
      <c r="E72" s="324" t="str">
        <f t="shared" si="1"/>
        <v>Tarief 2023</v>
      </c>
      <c r="F72" s="270" t="s">
        <v>663</v>
      </c>
      <c r="G72" s="270" t="s">
        <v>664</v>
      </c>
      <c r="H72" s="331">
        <f t="shared" si="2"/>
        <v>5.8111848341232198E-3</v>
      </c>
      <c r="I72" s="294" t="s">
        <v>775</v>
      </c>
    </row>
    <row r="73" spans="1:9" s="266" customFormat="1" ht="18.75" customHeight="1" x14ac:dyDescent="0.35">
      <c r="A73" s="322" t="s">
        <v>603</v>
      </c>
      <c r="B73" s="270" t="s">
        <v>665</v>
      </c>
      <c r="C73" s="297" t="s">
        <v>818</v>
      </c>
      <c r="D73" s="327">
        <v>9.7600000000000006E-2</v>
      </c>
      <c r="E73" s="324" t="str">
        <f>"Gemiddelde 1-9-2022 t/m 31-8-2023 (CBS)"</f>
        <v>Gemiddelde 1-9-2022 t/m 31-8-2023 (CBS)</v>
      </c>
      <c r="F73" s="270" t="s">
        <v>605</v>
      </c>
      <c r="G73" s="270" t="s">
        <v>668</v>
      </c>
      <c r="H73" s="327">
        <v>0.10702199033329711</v>
      </c>
      <c r="I73" s="308" t="str">
        <f>"Gemiddelde 2024-2038 (KEV2023)"</f>
        <v>Gemiddelde 2024-2038 (KEV2023)</v>
      </c>
    </row>
    <row r="74" spans="1:9" s="266" customFormat="1" ht="18.75" customHeight="1" x14ac:dyDescent="0.35">
      <c r="A74" s="322" t="s">
        <v>666</v>
      </c>
      <c r="B74" s="270" t="s">
        <v>667</v>
      </c>
      <c r="C74" s="297" t="s">
        <v>818</v>
      </c>
      <c r="D74" s="327">
        <v>0.1002</v>
      </c>
      <c r="E74" s="324" t="str">
        <f>"Gemiddelde 1-9-2022 t/m 31-8-2023 (CBS)"</f>
        <v>Gemiddelde 1-9-2022 t/m 31-8-2023 (CBS)</v>
      </c>
      <c r="F74" s="270" t="s">
        <v>669</v>
      </c>
      <c r="G74" s="270" t="s">
        <v>670</v>
      </c>
      <c r="H74" s="327">
        <v>0.1037384058919097</v>
      </c>
      <c r="I74" s="308" t="str">
        <f>"Gemiddelde 2024-2038 (KEV2023)"</f>
        <v>Gemiddelde 2024-2038 (KEV2023)</v>
      </c>
    </row>
    <row r="75" spans="1:9" s="266" customFormat="1" ht="18.75" customHeight="1" x14ac:dyDescent="0.35">
      <c r="A75" s="322" t="s">
        <v>671</v>
      </c>
      <c r="B75" s="270" t="s">
        <v>825</v>
      </c>
      <c r="C75" s="297" t="s">
        <v>826</v>
      </c>
      <c r="D75" s="336">
        <f>$D$79/0.93/1000*3.6</f>
        <v>0.21793548387096773</v>
      </c>
      <c r="E75" s="324" t="s">
        <v>827</v>
      </c>
      <c r="F75" s="270"/>
      <c r="G75" s="298"/>
      <c r="H75" s="298"/>
      <c r="I75" s="308"/>
    </row>
    <row r="76" spans="1:9" s="266" customFormat="1" ht="18.75" customHeight="1" x14ac:dyDescent="0.35">
      <c r="A76" s="322" t="s">
        <v>672</v>
      </c>
      <c r="B76" s="270" t="s">
        <v>828</v>
      </c>
      <c r="C76" s="297" t="s">
        <v>829</v>
      </c>
      <c r="D76" s="336">
        <f>$D$79/0.93/1000*3.6/0.375</f>
        <v>0.58116129032258057</v>
      </c>
      <c r="E76" s="324" t="s">
        <v>830</v>
      </c>
      <c r="F76" s="270"/>
      <c r="G76" s="298"/>
      <c r="H76" s="298"/>
      <c r="I76" s="308"/>
    </row>
    <row r="77" spans="1:9" s="266" customFormat="1" ht="18.75" customHeight="1" x14ac:dyDescent="0.35">
      <c r="A77" s="337" t="s">
        <v>556</v>
      </c>
      <c r="B77" s="298" t="s">
        <v>831</v>
      </c>
      <c r="C77" s="297" t="s">
        <v>832</v>
      </c>
      <c r="D77" s="323">
        <v>4.0000000000000001E-3</v>
      </c>
      <c r="E77" s="324" t="str">
        <f>"Marktinformatie 2022"</f>
        <v>Marktinformatie 2022</v>
      </c>
      <c r="F77" s="298" t="s">
        <v>556</v>
      </c>
      <c r="G77" s="298" t="s">
        <v>831</v>
      </c>
      <c r="H77" s="331">
        <f t="shared" ref="H77:H78" si="3">D77</f>
        <v>4.0000000000000001E-3</v>
      </c>
      <c r="I77" s="294" t="s">
        <v>775</v>
      </c>
    </row>
    <row r="78" spans="1:9" s="266" customFormat="1" ht="18.75" customHeight="1" x14ac:dyDescent="0.35">
      <c r="A78" s="337" t="s">
        <v>833</v>
      </c>
      <c r="B78" s="298" t="s">
        <v>673</v>
      </c>
      <c r="C78" s="297" t="s">
        <v>818</v>
      </c>
      <c r="D78" s="338">
        <v>8.3900000000000002E-2</v>
      </c>
      <c r="E78" s="324" t="str">
        <f>"Gemiddelde midprijzen HBE 24 A periode 1-9-2022 t/m 31-8-2023 (Olyx)"</f>
        <v>Gemiddelde midprijzen HBE 24 A periode 1-9-2022 t/m 31-8-2023 (Olyx)</v>
      </c>
      <c r="F78" s="298" t="s">
        <v>606</v>
      </c>
      <c r="G78" s="298" t="s">
        <v>673</v>
      </c>
      <c r="H78" s="331">
        <f t="shared" si="3"/>
        <v>8.3900000000000002E-2</v>
      </c>
      <c r="I78" s="294" t="s">
        <v>775</v>
      </c>
    </row>
    <row r="79" spans="1:9" s="266" customFormat="1" ht="18.75" customHeight="1" x14ac:dyDescent="0.35">
      <c r="A79" s="337" t="s">
        <v>674</v>
      </c>
      <c r="B79" s="298" t="s">
        <v>675</v>
      </c>
      <c r="C79" s="297" t="s">
        <v>834</v>
      </c>
      <c r="D79" s="338">
        <v>56.3</v>
      </c>
      <c r="E79" s="324" t="s">
        <v>835</v>
      </c>
      <c r="F79" s="270"/>
      <c r="G79" s="298"/>
      <c r="H79" s="298"/>
      <c r="I79" s="308"/>
    </row>
    <row r="80" spans="1:9" s="266" customFormat="1" ht="18.75" customHeight="1" x14ac:dyDescent="0.35">
      <c r="A80" s="337" t="s">
        <v>676</v>
      </c>
      <c r="B80" s="298" t="s">
        <v>677</v>
      </c>
      <c r="C80" s="297" t="s">
        <v>822</v>
      </c>
      <c r="D80" s="339">
        <v>15</v>
      </c>
      <c r="E80" s="324" t="str">
        <f>+"Marktinformatie 2021"</f>
        <v>Marktinformatie 2021</v>
      </c>
      <c r="F80" s="298" t="s">
        <v>676</v>
      </c>
      <c r="G80" s="298" t="s">
        <v>677</v>
      </c>
      <c r="H80" s="340">
        <f t="shared" ref="H80" si="4">D80</f>
        <v>15</v>
      </c>
      <c r="I80" s="294" t="s">
        <v>775</v>
      </c>
    </row>
    <row r="81" spans="1:9" s="266" customFormat="1" ht="18.75" customHeight="1" x14ac:dyDescent="0.35">
      <c r="A81" s="337" t="s">
        <v>678</v>
      </c>
      <c r="B81" s="298" t="s">
        <v>836</v>
      </c>
      <c r="C81" s="297" t="s">
        <v>822</v>
      </c>
      <c r="D81" s="339">
        <v>12</v>
      </c>
      <c r="E81" s="324" t="s">
        <v>837</v>
      </c>
      <c r="F81" s="298" t="s">
        <v>679</v>
      </c>
      <c r="G81" s="298" t="s">
        <v>838</v>
      </c>
      <c r="H81" s="339">
        <v>15</v>
      </c>
      <c r="I81" s="308" t="s">
        <v>839</v>
      </c>
    </row>
    <row r="82" spans="1:9" s="266" customFormat="1" ht="18.75" customHeight="1" x14ac:dyDescent="0.2">
      <c r="A82" s="337" t="s">
        <v>840</v>
      </c>
      <c r="B82" s="298" t="s">
        <v>841</v>
      </c>
      <c r="C82" s="297"/>
      <c r="D82" s="341">
        <v>0.9</v>
      </c>
      <c r="E82" s="324"/>
      <c r="F82" s="298" t="s">
        <v>840</v>
      </c>
      <c r="G82" s="298" t="s">
        <v>841</v>
      </c>
      <c r="H82" s="342">
        <v>0.9</v>
      </c>
      <c r="I82" s="294" t="s">
        <v>775</v>
      </c>
    </row>
    <row r="83" spans="1:9" s="266" customFormat="1" ht="18.75" customHeight="1" x14ac:dyDescent="0.35">
      <c r="A83" s="337" t="s">
        <v>784</v>
      </c>
      <c r="B83" s="298" t="s">
        <v>842</v>
      </c>
      <c r="C83" s="297" t="s">
        <v>843</v>
      </c>
      <c r="D83" s="343">
        <f>D66/1000*D79*0.0036/D82</f>
        <v>1.8544593883408077E-2</v>
      </c>
      <c r="E83" s="324"/>
      <c r="F83" s="298" t="s">
        <v>785</v>
      </c>
      <c r="G83" s="298" t="s">
        <v>842</v>
      </c>
      <c r="H83" s="343">
        <f>H66/1000*D79*0.0036/H82</f>
        <v>3.0857395858029563E-2</v>
      </c>
      <c r="I83" s="308"/>
    </row>
    <row r="84" spans="1:9" s="266" customFormat="1" ht="18.75" customHeight="1" x14ac:dyDescent="0.2">
      <c r="A84" s="337" t="s">
        <v>844</v>
      </c>
      <c r="B84" s="298" t="s">
        <v>845</v>
      </c>
      <c r="C84" s="297"/>
      <c r="D84" s="341">
        <v>0.3</v>
      </c>
      <c r="E84" s="324"/>
      <c r="F84" s="298" t="s">
        <v>844</v>
      </c>
      <c r="G84" s="298" t="s">
        <v>845</v>
      </c>
      <c r="H84" s="342">
        <f>D84</f>
        <v>0.3</v>
      </c>
      <c r="I84" s="294" t="s">
        <v>775</v>
      </c>
    </row>
    <row r="85" spans="1:9" s="266" customFormat="1" ht="18.75" customHeight="1" x14ac:dyDescent="0.2">
      <c r="A85" s="337" t="s">
        <v>846</v>
      </c>
      <c r="B85" s="298" t="s">
        <v>847</v>
      </c>
      <c r="C85" s="297"/>
      <c r="D85" s="341">
        <v>0.1</v>
      </c>
      <c r="E85" s="324"/>
      <c r="F85" s="298" t="s">
        <v>846</v>
      </c>
      <c r="G85" s="298" t="s">
        <v>847</v>
      </c>
      <c r="H85" s="342">
        <f>D85</f>
        <v>0.1</v>
      </c>
      <c r="I85" s="294" t="s">
        <v>775</v>
      </c>
    </row>
    <row r="86" spans="1:9" s="266" customFormat="1" ht="18.75" customHeight="1" x14ac:dyDescent="0.2">
      <c r="A86" s="337" t="s">
        <v>848</v>
      </c>
      <c r="B86" s="298" t="s">
        <v>849</v>
      </c>
      <c r="C86" s="297"/>
      <c r="D86" s="341">
        <v>0.5</v>
      </c>
      <c r="E86" s="324"/>
      <c r="F86" s="298" t="s">
        <v>848</v>
      </c>
      <c r="G86" s="298" t="s">
        <v>849</v>
      </c>
      <c r="H86" s="342">
        <f>D86</f>
        <v>0.5</v>
      </c>
      <c r="I86" s="294" t="s">
        <v>775</v>
      </c>
    </row>
    <row r="87" spans="1:9" s="266" customFormat="1" ht="18.75" customHeight="1" x14ac:dyDescent="0.2">
      <c r="A87" s="337" t="s">
        <v>850</v>
      </c>
      <c r="B87" s="298" t="s">
        <v>851</v>
      </c>
      <c r="C87" s="297"/>
      <c r="D87" s="341">
        <v>0</v>
      </c>
      <c r="E87" s="324"/>
      <c r="F87" s="298" t="s">
        <v>850</v>
      </c>
      <c r="G87" s="298" t="s">
        <v>851</v>
      </c>
      <c r="H87" s="342">
        <f>D87</f>
        <v>0</v>
      </c>
      <c r="I87" s="294" t="s">
        <v>775</v>
      </c>
    </row>
    <row r="88" spans="1:9" s="266" customFormat="1" ht="18.75" customHeight="1" x14ac:dyDescent="0.2">
      <c r="A88" s="337" t="s">
        <v>852</v>
      </c>
      <c r="B88" s="298" t="s">
        <v>853</v>
      </c>
      <c r="C88" s="325"/>
      <c r="D88" s="332"/>
      <c r="E88" s="324" t="s">
        <v>656</v>
      </c>
      <c r="F88" s="298" t="s">
        <v>852</v>
      </c>
      <c r="G88" s="298" t="s">
        <v>853</v>
      </c>
      <c r="H88" s="332"/>
      <c r="I88" s="308" t="s">
        <v>656</v>
      </c>
    </row>
    <row r="89" spans="1:9" s="266" customFormat="1" ht="18.75" customHeight="1" x14ac:dyDescent="0.35">
      <c r="A89" s="337" t="s">
        <v>854</v>
      </c>
      <c r="B89" s="298" t="s">
        <v>855</v>
      </c>
      <c r="C89" s="297" t="s">
        <v>856</v>
      </c>
      <c r="D89" s="339">
        <v>3.48</v>
      </c>
      <c r="E89" s="324" t="s">
        <v>857</v>
      </c>
      <c r="F89" s="298" t="s">
        <v>854</v>
      </c>
      <c r="G89" s="298" t="s">
        <v>855</v>
      </c>
      <c r="H89" s="344">
        <f>D89</f>
        <v>3.48</v>
      </c>
      <c r="I89" s="294" t="s">
        <v>775</v>
      </c>
    </row>
    <row r="90" spans="1:9" s="266" customFormat="1" ht="18.75" customHeight="1" thickBot="1" x14ac:dyDescent="0.4">
      <c r="A90" s="345" t="s">
        <v>858</v>
      </c>
      <c r="B90" s="302" t="s">
        <v>859</v>
      </c>
      <c r="C90" s="301" t="s">
        <v>860</v>
      </c>
      <c r="D90" s="346">
        <v>0.22900000000000001</v>
      </c>
      <c r="E90" s="347" t="s">
        <v>861</v>
      </c>
      <c r="F90" s="302" t="s">
        <v>858</v>
      </c>
      <c r="G90" s="302" t="s">
        <v>859</v>
      </c>
      <c r="H90" s="348">
        <f>D90</f>
        <v>0.22900000000000001</v>
      </c>
      <c r="I90" s="303" t="s">
        <v>775</v>
      </c>
    </row>
    <row r="91" spans="1:9" ht="18.75" customHeight="1" x14ac:dyDescent="0.2">
      <c r="A91" s="349">
        <v>1</v>
      </c>
      <c r="B91" s="350" t="s">
        <v>862</v>
      </c>
      <c r="C91" s="350"/>
      <c r="D91" s="350"/>
      <c r="E91" s="350"/>
      <c r="F91" s="350"/>
      <c r="G91" s="350"/>
      <c r="H91" s="350"/>
      <c r="I91" s="350"/>
    </row>
    <row r="92" spans="1:9" ht="18.75" customHeight="1" x14ac:dyDescent="0.2">
      <c r="A92" s="349">
        <v>2</v>
      </c>
      <c r="B92" s="296" t="s">
        <v>863</v>
      </c>
    </row>
    <row r="93" spans="1:9" ht="18.75" customHeight="1" x14ac:dyDescent="0.2">
      <c r="A93" s="349">
        <v>3</v>
      </c>
      <c r="B93" s="296" t="s">
        <v>864</v>
      </c>
      <c r="D93" s="351"/>
    </row>
    <row r="94" spans="1:9" ht="18.75" customHeight="1" x14ac:dyDescent="0.2">
      <c r="A94" s="349">
        <v>4</v>
      </c>
      <c r="B94" s="296" t="s">
        <v>865</v>
      </c>
    </row>
    <row r="95" spans="1:9" ht="18.75" customHeight="1" x14ac:dyDescent="0.2">
      <c r="A95" s="349">
        <v>5</v>
      </c>
      <c r="B95" s="296" t="s">
        <v>866</v>
      </c>
    </row>
    <row r="96" spans="1:9" ht="18.75" customHeight="1" x14ac:dyDescent="0.2">
      <c r="A96" s="349">
        <v>6</v>
      </c>
      <c r="B96" s="296" t="s">
        <v>867</v>
      </c>
      <c r="C96" s="350"/>
      <c r="D96" s="350"/>
      <c r="E96" s="350"/>
    </row>
    <row r="97" spans="1:5" ht="18.75" customHeight="1" x14ac:dyDescent="0.2">
      <c r="A97" s="349">
        <v>7</v>
      </c>
      <c r="B97" s="296" t="s">
        <v>868</v>
      </c>
      <c r="C97" s="350"/>
      <c r="D97" s="350"/>
      <c r="E97" s="350"/>
    </row>
    <row r="98" spans="1:5" ht="18.75" customHeight="1" x14ac:dyDescent="0.2">
      <c r="A98" s="349">
        <v>8</v>
      </c>
      <c r="B98" s="296" t="s">
        <v>869</v>
      </c>
      <c r="C98" s="350"/>
      <c r="D98" s="350"/>
      <c r="E98" s="350"/>
    </row>
    <row r="99" spans="1:5" ht="18.75" customHeight="1" x14ac:dyDescent="0.2">
      <c r="A99" s="349">
        <v>9</v>
      </c>
      <c r="B99" s="296" t="s">
        <v>870</v>
      </c>
      <c r="C99" s="350"/>
      <c r="D99" s="350"/>
      <c r="E99" s="350"/>
    </row>
    <row r="100" spans="1:5" ht="18.75" customHeight="1" x14ac:dyDescent="0.2">
      <c r="A100" s="349">
        <v>10</v>
      </c>
      <c r="B100" s="296" t="s">
        <v>871</v>
      </c>
      <c r="C100" s="350"/>
      <c r="D100" s="350"/>
      <c r="E100" s="350"/>
    </row>
    <row r="101" spans="1:5" ht="18.75" customHeight="1" x14ac:dyDescent="0.2">
      <c r="C101" s="350"/>
      <c r="D101" s="350"/>
      <c r="E101" s="350"/>
    </row>
    <row r="102" spans="1:5" ht="18.75" customHeight="1" x14ac:dyDescent="0.2">
      <c r="C102" s="350"/>
      <c r="D102" s="350"/>
      <c r="E102" s="350"/>
    </row>
    <row r="103" spans="1:5" ht="18.75" customHeight="1" x14ac:dyDescent="0.2">
      <c r="C103" s="350"/>
      <c r="D103" s="350"/>
      <c r="E103" s="350"/>
    </row>
    <row r="104" spans="1:5" ht="18.75" customHeight="1" x14ac:dyDescent="0.2">
      <c r="C104" s="350"/>
      <c r="D104" s="350"/>
      <c r="E104" s="350"/>
    </row>
    <row r="105" spans="1:5" ht="18.75" customHeight="1" x14ac:dyDescent="0.2">
      <c r="C105" s="350"/>
      <c r="D105" s="350"/>
      <c r="E105" s="350"/>
    </row>
  </sheetData>
  <mergeCells count="6">
    <mergeCell ref="F44:G44"/>
    <mergeCell ref="D1:E1"/>
    <mergeCell ref="F1:G1"/>
    <mergeCell ref="H1:I1"/>
    <mergeCell ref="F32:G32"/>
    <mergeCell ref="F37:G37"/>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D6676-7CE1-4AF5-844E-5BEDCEC4CDB7}">
  <dimension ref="A1:R228"/>
  <sheetViews>
    <sheetView topLeftCell="A26" zoomScaleNormal="100" workbookViewId="0">
      <selection activeCell="B42" sqref="B42"/>
    </sheetView>
  </sheetViews>
  <sheetFormatPr defaultRowHeight="15" x14ac:dyDescent="0.25"/>
  <cols>
    <col min="1" max="1" width="79" customWidth="1"/>
    <col min="2" max="2" width="42.5703125" customWidth="1"/>
    <col min="3" max="3" width="57.28515625" customWidth="1"/>
    <col min="4" max="4" width="54.7109375" customWidth="1"/>
    <col min="5" max="5" width="22.42578125" customWidth="1"/>
    <col min="6" max="6" width="70.85546875" customWidth="1"/>
    <col min="7" max="7" width="20.5703125" customWidth="1"/>
    <col min="8" max="8" width="71.42578125" customWidth="1"/>
    <col min="9" max="9" width="55.85546875" customWidth="1"/>
    <col min="10" max="10" width="50" customWidth="1"/>
    <col min="11" max="11" width="40.42578125" customWidth="1"/>
    <col min="257" max="257" width="79" customWidth="1"/>
    <col min="258" max="258" width="42.5703125" customWidth="1"/>
    <col min="259" max="259" width="57.28515625" customWidth="1"/>
    <col min="260" max="260" width="54.7109375" customWidth="1"/>
    <col min="261" max="261" width="22.42578125" customWidth="1"/>
    <col min="262" max="262" width="70.85546875" customWidth="1"/>
    <col min="263" max="263" width="20.5703125" customWidth="1"/>
    <col min="264" max="264" width="71.42578125" customWidth="1"/>
    <col min="265" max="265" width="55.85546875" customWidth="1"/>
    <col min="266" max="266" width="50" customWidth="1"/>
    <col min="267" max="267" width="40.42578125" customWidth="1"/>
    <col min="513" max="513" width="79" customWidth="1"/>
    <col min="514" max="514" width="42.5703125" customWidth="1"/>
    <col min="515" max="515" width="57.28515625" customWidth="1"/>
    <col min="516" max="516" width="54.7109375" customWidth="1"/>
    <col min="517" max="517" width="22.42578125" customWidth="1"/>
    <col min="518" max="518" width="70.85546875" customWidth="1"/>
    <col min="519" max="519" width="20.5703125" customWidth="1"/>
    <col min="520" max="520" width="71.42578125" customWidth="1"/>
    <col min="521" max="521" width="55.85546875" customWidth="1"/>
    <col min="522" max="522" width="50" customWidth="1"/>
    <col min="523" max="523" width="40.42578125" customWidth="1"/>
    <col min="769" max="769" width="79" customWidth="1"/>
    <col min="770" max="770" width="42.5703125" customWidth="1"/>
    <col min="771" max="771" width="57.28515625" customWidth="1"/>
    <col min="772" max="772" width="54.7109375" customWidth="1"/>
    <col min="773" max="773" width="22.42578125" customWidth="1"/>
    <col min="774" max="774" width="70.85546875" customWidth="1"/>
    <col min="775" max="775" width="20.5703125" customWidth="1"/>
    <col min="776" max="776" width="71.42578125" customWidth="1"/>
    <col min="777" max="777" width="55.85546875" customWidth="1"/>
    <col min="778" max="778" width="50" customWidth="1"/>
    <col min="779" max="779" width="40.42578125" customWidth="1"/>
    <col min="1025" max="1025" width="79" customWidth="1"/>
    <col min="1026" max="1026" width="42.5703125" customWidth="1"/>
    <col min="1027" max="1027" width="57.28515625" customWidth="1"/>
    <col min="1028" max="1028" width="54.7109375" customWidth="1"/>
    <col min="1029" max="1029" width="22.42578125" customWidth="1"/>
    <col min="1030" max="1030" width="70.85546875" customWidth="1"/>
    <col min="1031" max="1031" width="20.5703125" customWidth="1"/>
    <col min="1032" max="1032" width="71.42578125" customWidth="1"/>
    <col min="1033" max="1033" width="55.85546875" customWidth="1"/>
    <col min="1034" max="1034" width="50" customWidth="1"/>
    <col min="1035" max="1035" width="40.42578125" customWidth="1"/>
    <col min="1281" max="1281" width="79" customWidth="1"/>
    <col min="1282" max="1282" width="42.5703125" customWidth="1"/>
    <col min="1283" max="1283" width="57.28515625" customWidth="1"/>
    <col min="1284" max="1284" width="54.7109375" customWidth="1"/>
    <col min="1285" max="1285" width="22.42578125" customWidth="1"/>
    <col min="1286" max="1286" width="70.85546875" customWidth="1"/>
    <col min="1287" max="1287" width="20.5703125" customWidth="1"/>
    <col min="1288" max="1288" width="71.42578125" customWidth="1"/>
    <col min="1289" max="1289" width="55.85546875" customWidth="1"/>
    <col min="1290" max="1290" width="50" customWidth="1"/>
    <col min="1291" max="1291" width="40.42578125" customWidth="1"/>
    <col min="1537" max="1537" width="79" customWidth="1"/>
    <col min="1538" max="1538" width="42.5703125" customWidth="1"/>
    <col min="1539" max="1539" width="57.28515625" customWidth="1"/>
    <col min="1540" max="1540" width="54.7109375" customWidth="1"/>
    <col min="1541" max="1541" width="22.42578125" customWidth="1"/>
    <col min="1542" max="1542" width="70.85546875" customWidth="1"/>
    <col min="1543" max="1543" width="20.5703125" customWidth="1"/>
    <col min="1544" max="1544" width="71.42578125" customWidth="1"/>
    <col min="1545" max="1545" width="55.85546875" customWidth="1"/>
    <col min="1546" max="1546" width="50" customWidth="1"/>
    <col min="1547" max="1547" width="40.42578125" customWidth="1"/>
    <col min="1793" max="1793" width="79" customWidth="1"/>
    <col min="1794" max="1794" width="42.5703125" customWidth="1"/>
    <col min="1795" max="1795" width="57.28515625" customWidth="1"/>
    <col min="1796" max="1796" width="54.7109375" customWidth="1"/>
    <col min="1797" max="1797" width="22.42578125" customWidth="1"/>
    <col min="1798" max="1798" width="70.85546875" customWidth="1"/>
    <col min="1799" max="1799" width="20.5703125" customWidth="1"/>
    <col min="1800" max="1800" width="71.42578125" customWidth="1"/>
    <col min="1801" max="1801" width="55.85546875" customWidth="1"/>
    <col min="1802" max="1802" width="50" customWidth="1"/>
    <col min="1803" max="1803" width="40.42578125" customWidth="1"/>
    <col min="2049" max="2049" width="79" customWidth="1"/>
    <col min="2050" max="2050" width="42.5703125" customWidth="1"/>
    <col min="2051" max="2051" width="57.28515625" customWidth="1"/>
    <col min="2052" max="2052" width="54.7109375" customWidth="1"/>
    <col min="2053" max="2053" width="22.42578125" customWidth="1"/>
    <col min="2054" max="2054" width="70.85546875" customWidth="1"/>
    <col min="2055" max="2055" width="20.5703125" customWidth="1"/>
    <col min="2056" max="2056" width="71.42578125" customWidth="1"/>
    <col min="2057" max="2057" width="55.85546875" customWidth="1"/>
    <col min="2058" max="2058" width="50" customWidth="1"/>
    <col min="2059" max="2059" width="40.42578125" customWidth="1"/>
    <col min="2305" max="2305" width="79" customWidth="1"/>
    <col min="2306" max="2306" width="42.5703125" customWidth="1"/>
    <col min="2307" max="2307" width="57.28515625" customWidth="1"/>
    <col min="2308" max="2308" width="54.7109375" customWidth="1"/>
    <col min="2309" max="2309" width="22.42578125" customWidth="1"/>
    <col min="2310" max="2310" width="70.85546875" customWidth="1"/>
    <col min="2311" max="2311" width="20.5703125" customWidth="1"/>
    <col min="2312" max="2312" width="71.42578125" customWidth="1"/>
    <col min="2313" max="2313" width="55.85546875" customWidth="1"/>
    <col min="2314" max="2314" width="50" customWidth="1"/>
    <col min="2315" max="2315" width="40.42578125" customWidth="1"/>
    <col min="2561" max="2561" width="79" customWidth="1"/>
    <col min="2562" max="2562" width="42.5703125" customWidth="1"/>
    <col min="2563" max="2563" width="57.28515625" customWidth="1"/>
    <col min="2564" max="2564" width="54.7109375" customWidth="1"/>
    <col min="2565" max="2565" width="22.42578125" customWidth="1"/>
    <col min="2566" max="2566" width="70.85546875" customWidth="1"/>
    <col min="2567" max="2567" width="20.5703125" customWidth="1"/>
    <col min="2568" max="2568" width="71.42578125" customWidth="1"/>
    <col min="2569" max="2569" width="55.85546875" customWidth="1"/>
    <col min="2570" max="2570" width="50" customWidth="1"/>
    <col min="2571" max="2571" width="40.42578125" customWidth="1"/>
    <col min="2817" max="2817" width="79" customWidth="1"/>
    <col min="2818" max="2818" width="42.5703125" customWidth="1"/>
    <col min="2819" max="2819" width="57.28515625" customWidth="1"/>
    <col min="2820" max="2820" width="54.7109375" customWidth="1"/>
    <col min="2821" max="2821" width="22.42578125" customWidth="1"/>
    <col min="2822" max="2822" width="70.85546875" customWidth="1"/>
    <col min="2823" max="2823" width="20.5703125" customWidth="1"/>
    <col min="2824" max="2824" width="71.42578125" customWidth="1"/>
    <col min="2825" max="2825" width="55.85546875" customWidth="1"/>
    <col min="2826" max="2826" width="50" customWidth="1"/>
    <col min="2827" max="2827" width="40.42578125" customWidth="1"/>
    <col min="3073" max="3073" width="79" customWidth="1"/>
    <col min="3074" max="3074" width="42.5703125" customWidth="1"/>
    <col min="3075" max="3075" width="57.28515625" customWidth="1"/>
    <col min="3076" max="3076" width="54.7109375" customWidth="1"/>
    <col min="3077" max="3077" width="22.42578125" customWidth="1"/>
    <col min="3078" max="3078" width="70.85546875" customWidth="1"/>
    <col min="3079" max="3079" width="20.5703125" customWidth="1"/>
    <col min="3080" max="3080" width="71.42578125" customWidth="1"/>
    <col min="3081" max="3081" width="55.85546875" customWidth="1"/>
    <col min="3082" max="3082" width="50" customWidth="1"/>
    <col min="3083" max="3083" width="40.42578125" customWidth="1"/>
    <col min="3329" max="3329" width="79" customWidth="1"/>
    <col min="3330" max="3330" width="42.5703125" customWidth="1"/>
    <col min="3331" max="3331" width="57.28515625" customWidth="1"/>
    <col min="3332" max="3332" width="54.7109375" customWidth="1"/>
    <col min="3333" max="3333" width="22.42578125" customWidth="1"/>
    <col min="3334" max="3334" width="70.85546875" customWidth="1"/>
    <col min="3335" max="3335" width="20.5703125" customWidth="1"/>
    <col min="3336" max="3336" width="71.42578125" customWidth="1"/>
    <col min="3337" max="3337" width="55.85546875" customWidth="1"/>
    <col min="3338" max="3338" width="50" customWidth="1"/>
    <col min="3339" max="3339" width="40.42578125" customWidth="1"/>
    <col min="3585" max="3585" width="79" customWidth="1"/>
    <col min="3586" max="3586" width="42.5703125" customWidth="1"/>
    <col min="3587" max="3587" width="57.28515625" customWidth="1"/>
    <col min="3588" max="3588" width="54.7109375" customWidth="1"/>
    <col min="3589" max="3589" width="22.42578125" customWidth="1"/>
    <col min="3590" max="3590" width="70.85546875" customWidth="1"/>
    <col min="3591" max="3591" width="20.5703125" customWidth="1"/>
    <col min="3592" max="3592" width="71.42578125" customWidth="1"/>
    <col min="3593" max="3593" width="55.85546875" customWidth="1"/>
    <col min="3594" max="3594" width="50" customWidth="1"/>
    <col min="3595" max="3595" width="40.42578125" customWidth="1"/>
    <col min="3841" max="3841" width="79" customWidth="1"/>
    <col min="3842" max="3842" width="42.5703125" customWidth="1"/>
    <col min="3843" max="3843" width="57.28515625" customWidth="1"/>
    <col min="3844" max="3844" width="54.7109375" customWidth="1"/>
    <col min="3845" max="3845" width="22.42578125" customWidth="1"/>
    <col min="3846" max="3846" width="70.85546875" customWidth="1"/>
    <col min="3847" max="3847" width="20.5703125" customWidth="1"/>
    <col min="3848" max="3848" width="71.42578125" customWidth="1"/>
    <col min="3849" max="3849" width="55.85546875" customWidth="1"/>
    <col min="3850" max="3850" width="50" customWidth="1"/>
    <col min="3851" max="3851" width="40.42578125" customWidth="1"/>
    <col min="4097" max="4097" width="79" customWidth="1"/>
    <col min="4098" max="4098" width="42.5703125" customWidth="1"/>
    <col min="4099" max="4099" width="57.28515625" customWidth="1"/>
    <col min="4100" max="4100" width="54.7109375" customWidth="1"/>
    <col min="4101" max="4101" width="22.42578125" customWidth="1"/>
    <col min="4102" max="4102" width="70.85546875" customWidth="1"/>
    <col min="4103" max="4103" width="20.5703125" customWidth="1"/>
    <col min="4104" max="4104" width="71.42578125" customWidth="1"/>
    <col min="4105" max="4105" width="55.85546875" customWidth="1"/>
    <col min="4106" max="4106" width="50" customWidth="1"/>
    <col min="4107" max="4107" width="40.42578125" customWidth="1"/>
    <col min="4353" max="4353" width="79" customWidth="1"/>
    <col min="4354" max="4354" width="42.5703125" customWidth="1"/>
    <col min="4355" max="4355" width="57.28515625" customWidth="1"/>
    <col min="4356" max="4356" width="54.7109375" customWidth="1"/>
    <col min="4357" max="4357" width="22.42578125" customWidth="1"/>
    <col min="4358" max="4358" width="70.85546875" customWidth="1"/>
    <col min="4359" max="4359" width="20.5703125" customWidth="1"/>
    <col min="4360" max="4360" width="71.42578125" customWidth="1"/>
    <col min="4361" max="4361" width="55.85546875" customWidth="1"/>
    <col min="4362" max="4362" width="50" customWidth="1"/>
    <col min="4363" max="4363" width="40.42578125" customWidth="1"/>
    <col min="4609" max="4609" width="79" customWidth="1"/>
    <col min="4610" max="4610" width="42.5703125" customWidth="1"/>
    <col min="4611" max="4611" width="57.28515625" customWidth="1"/>
    <col min="4612" max="4612" width="54.7109375" customWidth="1"/>
    <col min="4613" max="4613" width="22.42578125" customWidth="1"/>
    <col min="4614" max="4614" width="70.85546875" customWidth="1"/>
    <col min="4615" max="4615" width="20.5703125" customWidth="1"/>
    <col min="4616" max="4616" width="71.42578125" customWidth="1"/>
    <col min="4617" max="4617" width="55.85546875" customWidth="1"/>
    <col min="4618" max="4618" width="50" customWidth="1"/>
    <col min="4619" max="4619" width="40.42578125" customWidth="1"/>
    <col min="4865" max="4865" width="79" customWidth="1"/>
    <col min="4866" max="4866" width="42.5703125" customWidth="1"/>
    <col min="4867" max="4867" width="57.28515625" customWidth="1"/>
    <col min="4868" max="4868" width="54.7109375" customWidth="1"/>
    <col min="4869" max="4869" width="22.42578125" customWidth="1"/>
    <col min="4870" max="4870" width="70.85546875" customWidth="1"/>
    <col min="4871" max="4871" width="20.5703125" customWidth="1"/>
    <col min="4872" max="4872" width="71.42578125" customWidth="1"/>
    <col min="4873" max="4873" width="55.85546875" customWidth="1"/>
    <col min="4874" max="4874" width="50" customWidth="1"/>
    <col min="4875" max="4875" width="40.42578125" customWidth="1"/>
    <col min="5121" max="5121" width="79" customWidth="1"/>
    <col min="5122" max="5122" width="42.5703125" customWidth="1"/>
    <col min="5123" max="5123" width="57.28515625" customWidth="1"/>
    <col min="5124" max="5124" width="54.7109375" customWidth="1"/>
    <col min="5125" max="5125" width="22.42578125" customWidth="1"/>
    <col min="5126" max="5126" width="70.85546875" customWidth="1"/>
    <col min="5127" max="5127" width="20.5703125" customWidth="1"/>
    <col min="5128" max="5128" width="71.42578125" customWidth="1"/>
    <col min="5129" max="5129" width="55.85546875" customWidth="1"/>
    <col min="5130" max="5130" width="50" customWidth="1"/>
    <col min="5131" max="5131" width="40.42578125" customWidth="1"/>
    <col min="5377" max="5377" width="79" customWidth="1"/>
    <col min="5378" max="5378" width="42.5703125" customWidth="1"/>
    <col min="5379" max="5379" width="57.28515625" customWidth="1"/>
    <col min="5380" max="5380" width="54.7109375" customWidth="1"/>
    <col min="5381" max="5381" width="22.42578125" customWidth="1"/>
    <col min="5382" max="5382" width="70.85546875" customWidth="1"/>
    <col min="5383" max="5383" width="20.5703125" customWidth="1"/>
    <col min="5384" max="5384" width="71.42578125" customWidth="1"/>
    <col min="5385" max="5385" width="55.85546875" customWidth="1"/>
    <col min="5386" max="5386" width="50" customWidth="1"/>
    <col min="5387" max="5387" width="40.42578125" customWidth="1"/>
    <col min="5633" max="5633" width="79" customWidth="1"/>
    <col min="5634" max="5634" width="42.5703125" customWidth="1"/>
    <col min="5635" max="5635" width="57.28515625" customWidth="1"/>
    <col min="5636" max="5636" width="54.7109375" customWidth="1"/>
    <col min="5637" max="5637" width="22.42578125" customWidth="1"/>
    <col min="5638" max="5638" width="70.85546875" customWidth="1"/>
    <col min="5639" max="5639" width="20.5703125" customWidth="1"/>
    <col min="5640" max="5640" width="71.42578125" customWidth="1"/>
    <col min="5641" max="5641" width="55.85546875" customWidth="1"/>
    <col min="5642" max="5642" width="50" customWidth="1"/>
    <col min="5643" max="5643" width="40.42578125" customWidth="1"/>
    <col min="5889" max="5889" width="79" customWidth="1"/>
    <col min="5890" max="5890" width="42.5703125" customWidth="1"/>
    <col min="5891" max="5891" width="57.28515625" customWidth="1"/>
    <col min="5892" max="5892" width="54.7109375" customWidth="1"/>
    <col min="5893" max="5893" width="22.42578125" customWidth="1"/>
    <col min="5894" max="5894" width="70.85546875" customWidth="1"/>
    <col min="5895" max="5895" width="20.5703125" customWidth="1"/>
    <col min="5896" max="5896" width="71.42578125" customWidth="1"/>
    <col min="5897" max="5897" width="55.85546875" customWidth="1"/>
    <col min="5898" max="5898" width="50" customWidth="1"/>
    <col min="5899" max="5899" width="40.42578125" customWidth="1"/>
    <col min="6145" max="6145" width="79" customWidth="1"/>
    <col min="6146" max="6146" width="42.5703125" customWidth="1"/>
    <col min="6147" max="6147" width="57.28515625" customWidth="1"/>
    <col min="6148" max="6148" width="54.7109375" customWidth="1"/>
    <col min="6149" max="6149" width="22.42578125" customWidth="1"/>
    <col min="6150" max="6150" width="70.85546875" customWidth="1"/>
    <col min="6151" max="6151" width="20.5703125" customWidth="1"/>
    <col min="6152" max="6152" width="71.42578125" customWidth="1"/>
    <col min="6153" max="6153" width="55.85546875" customWidth="1"/>
    <col min="6154" max="6154" width="50" customWidth="1"/>
    <col min="6155" max="6155" width="40.42578125" customWidth="1"/>
    <col min="6401" max="6401" width="79" customWidth="1"/>
    <col min="6402" max="6402" width="42.5703125" customWidth="1"/>
    <col min="6403" max="6403" width="57.28515625" customWidth="1"/>
    <col min="6404" max="6404" width="54.7109375" customWidth="1"/>
    <col min="6405" max="6405" width="22.42578125" customWidth="1"/>
    <col min="6406" max="6406" width="70.85546875" customWidth="1"/>
    <col min="6407" max="6407" width="20.5703125" customWidth="1"/>
    <col min="6408" max="6408" width="71.42578125" customWidth="1"/>
    <col min="6409" max="6409" width="55.85546875" customWidth="1"/>
    <col min="6410" max="6410" width="50" customWidth="1"/>
    <col min="6411" max="6411" width="40.42578125" customWidth="1"/>
    <col min="6657" max="6657" width="79" customWidth="1"/>
    <col min="6658" max="6658" width="42.5703125" customWidth="1"/>
    <col min="6659" max="6659" width="57.28515625" customWidth="1"/>
    <col min="6660" max="6660" width="54.7109375" customWidth="1"/>
    <col min="6661" max="6661" width="22.42578125" customWidth="1"/>
    <col min="6662" max="6662" width="70.85546875" customWidth="1"/>
    <col min="6663" max="6663" width="20.5703125" customWidth="1"/>
    <col min="6664" max="6664" width="71.42578125" customWidth="1"/>
    <col min="6665" max="6665" width="55.85546875" customWidth="1"/>
    <col min="6666" max="6666" width="50" customWidth="1"/>
    <col min="6667" max="6667" width="40.42578125" customWidth="1"/>
    <col min="6913" max="6913" width="79" customWidth="1"/>
    <col min="6914" max="6914" width="42.5703125" customWidth="1"/>
    <col min="6915" max="6915" width="57.28515625" customWidth="1"/>
    <col min="6916" max="6916" width="54.7109375" customWidth="1"/>
    <col min="6917" max="6917" width="22.42578125" customWidth="1"/>
    <col min="6918" max="6918" width="70.85546875" customWidth="1"/>
    <col min="6919" max="6919" width="20.5703125" customWidth="1"/>
    <col min="6920" max="6920" width="71.42578125" customWidth="1"/>
    <col min="6921" max="6921" width="55.85546875" customWidth="1"/>
    <col min="6922" max="6922" width="50" customWidth="1"/>
    <col min="6923" max="6923" width="40.42578125" customWidth="1"/>
    <col min="7169" max="7169" width="79" customWidth="1"/>
    <col min="7170" max="7170" width="42.5703125" customWidth="1"/>
    <col min="7171" max="7171" width="57.28515625" customWidth="1"/>
    <col min="7172" max="7172" width="54.7109375" customWidth="1"/>
    <col min="7173" max="7173" width="22.42578125" customWidth="1"/>
    <col min="7174" max="7174" width="70.85546875" customWidth="1"/>
    <col min="7175" max="7175" width="20.5703125" customWidth="1"/>
    <col min="7176" max="7176" width="71.42578125" customWidth="1"/>
    <col min="7177" max="7177" width="55.85546875" customWidth="1"/>
    <col min="7178" max="7178" width="50" customWidth="1"/>
    <col min="7179" max="7179" width="40.42578125" customWidth="1"/>
    <col min="7425" max="7425" width="79" customWidth="1"/>
    <col min="7426" max="7426" width="42.5703125" customWidth="1"/>
    <col min="7427" max="7427" width="57.28515625" customWidth="1"/>
    <col min="7428" max="7428" width="54.7109375" customWidth="1"/>
    <col min="7429" max="7429" width="22.42578125" customWidth="1"/>
    <col min="7430" max="7430" width="70.85546875" customWidth="1"/>
    <col min="7431" max="7431" width="20.5703125" customWidth="1"/>
    <col min="7432" max="7432" width="71.42578125" customWidth="1"/>
    <col min="7433" max="7433" width="55.85546875" customWidth="1"/>
    <col min="7434" max="7434" width="50" customWidth="1"/>
    <col min="7435" max="7435" width="40.42578125" customWidth="1"/>
    <col min="7681" max="7681" width="79" customWidth="1"/>
    <col min="7682" max="7682" width="42.5703125" customWidth="1"/>
    <col min="7683" max="7683" width="57.28515625" customWidth="1"/>
    <col min="7684" max="7684" width="54.7109375" customWidth="1"/>
    <col min="7685" max="7685" width="22.42578125" customWidth="1"/>
    <col min="7686" max="7686" width="70.85546875" customWidth="1"/>
    <col min="7687" max="7687" width="20.5703125" customWidth="1"/>
    <col min="7688" max="7688" width="71.42578125" customWidth="1"/>
    <col min="7689" max="7689" width="55.85546875" customWidth="1"/>
    <col min="7690" max="7690" width="50" customWidth="1"/>
    <col min="7691" max="7691" width="40.42578125" customWidth="1"/>
    <col min="7937" max="7937" width="79" customWidth="1"/>
    <col min="7938" max="7938" width="42.5703125" customWidth="1"/>
    <col min="7939" max="7939" width="57.28515625" customWidth="1"/>
    <col min="7940" max="7940" width="54.7109375" customWidth="1"/>
    <col min="7941" max="7941" width="22.42578125" customWidth="1"/>
    <col min="7942" max="7942" width="70.85546875" customWidth="1"/>
    <col min="7943" max="7943" width="20.5703125" customWidth="1"/>
    <col min="7944" max="7944" width="71.42578125" customWidth="1"/>
    <col min="7945" max="7945" width="55.85546875" customWidth="1"/>
    <col min="7946" max="7946" width="50" customWidth="1"/>
    <col min="7947" max="7947" width="40.42578125" customWidth="1"/>
    <col min="8193" max="8193" width="79" customWidth="1"/>
    <col min="8194" max="8194" width="42.5703125" customWidth="1"/>
    <col min="8195" max="8195" width="57.28515625" customWidth="1"/>
    <col min="8196" max="8196" width="54.7109375" customWidth="1"/>
    <col min="8197" max="8197" width="22.42578125" customWidth="1"/>
    <col min="8198" max="8198" width="70.85546875" customWidth="1"/>
    <col min="8199" max="8199" width="20.5703125" customWidth="1"/>
    <col min="8200" max="8200" width="71.42578125" customWidth="1"/>
    <col min="8201" max="8201" width="55.85546875" customWidth="1"/>
    <col min="8202" max="8202" width="50" customWidth="1"/>
    <col min="8203" max="8203" width="40.42578125" customWidth="1"/>
    <col min="8449" max="8449" width="79" customWidth="1"/>
    <col min="8450" max="8450" width="42.5703125" customWidth="1"/>
    <col min="8451" max="8451" width="57.28515625" customWidth="1"/>
    <col min="8452" max="8452" width="54.7109375" customWidth="1"/>
    <col min="8453" max="8453" width="22.42578125" customWidth="1"/>
    <col min="8454" max="8454" width="70.85546875" customWidth="1"/>
    <col min="8455" max="8455" width="20.5703125" customWidth="1"/>
    <col min="8456" max="8456" width="71.42578125" customWidth="1"/>
    <col min="8457" max="8457" width="55.85546875" customWidth="1"/>
    <col min="8458" max="8458" width="50" customWidth="1"/>
    <col min="8459" max="8459" width="40.42578125" customWidth="1"/>
    <col min="8705" max="8705" width="79" customWidth="1"/>
    <col min="8706" max="8706" width="42.5703125" customWidth="1"/>
    <col min="8707" max="8707" width="57.28515625" customWidth="1"/>
    <col min="8708" max="8708" width="54.7109375" customWidth="1"/>
    <col min="8709" max="8709" width="22.42578125" customWidth="1"/>
    <col min="8710" max="8710" width="70.85546875" customWidth="1"/>
    <col min="8711" max="8711" width="20.5703125" customWidth="1"/>
    <col min="8712" max="8712" width="71.42578125" customWidth="1"/>
    <col min="8713" max="8713" width="55.85546875" customWidth="1"/>
    <col min="8714" max="8714" width="50" customWidth="1"/>
    <col min="8715" max="8715" width="40.42578125" customWidth="1"/>
    <col min="8961" max="8961" width="79" customWidth="1"/>
    <col min="8962" max="8962" width="42.5703125" customWidth="1"/>
    <col min="8963" max="8963" width="57.28515625" customWidth="1"/>
    <col min="8964" max="8964" width="54.7109375" customWidth="1"/>
    <col min="8965" max="8965" width="22.42578125" customWidth="1"/>
    <col min="8966" max="8966" width="70.85546875" customWidth="1"/>
    <col min="8967" max="8967" width="20.5703125" customWidth="1"/>
    <col min="8968" max="8968" width="71.42578125" customWidth="1"/>
    <col min="8969" max="8969" width="55.85546875" customWidth="1"/>
    <col min="8970" max="8970" width="50" customWidth="1"/>
    <col min="8971" max="8971" width="40.42578125" customWidth="1"/>
    <col min="9217" max="9217" width="79" customWidth="1"/>
    <col min="9218" max="9218" width="42.5703125" customWidth="1"/>
    <col min="9219" max="9219" width="57.28515625" customWidth="1"/>
    <col min="9220" max="9220" width="54.7109375" customWidth="1"/>
    <col min="9221" max="9221" width="22.42578125" customWidth="1"/>
    <col min="9222" max="9222" width="70.85546875" customWidth="1"/>
    <col min="9223" max="9223" width="20.5703125" customWidth="1"/>
    <col min="9224" max="9224" width="71.42578125" customWidth="1"/>
    <col min="9225" max="9225" width="55.85546875" customWidth="1"/>
    <col min="9226" max="9226" width="50" customWidth="1"/>
    <col min="9227" max="9227" width="40.42578125" customWidth="1"/>
    <col min="9473" max="9473" width="79" customWidth="1"/>
    <col min="9474" max="9474" width="42.5703125" customWidth="1"/>
    <col min="9475" max="9475" width="57.28515625" customWidth="1"/>
    <col min="9476" max="9476" width="54.7109375" customWidth="1"/>
    <col min="9477" max="9477" width="22.42578125" customWidth="1"/>
    <col min="9478" max="9478" width="70.85546875" customWidth="1"/>
    <col min="9479" max="9479" width="20.5703125" customWidth="1"/>
    <col min="9480" max="9480" width="71.42578125" customWidth="1"/>
    <col min="9481" max="9481" width="55.85546875" customWidth="1"/>
    <col min="9482" max="9482" width="50" customWidth="1"/>
    <col min="9483" max="9483" width="40.42578125" customWidth="1"/>
    <col min="9729" max="9729" width="79" customWidth="1"/>
    <col min="9730" max="9730" width="42.5703125" customWidth="1"/>
    <col min="9731" max="9731" width="57.28515625" customWidth="1"/>
    <col min="9732" max="9732" width="54.7109375" customWidth="1"/>
    <col min="9733" max="9733" width="22.42578125" customWidth="1"/>
    <col min="9734" max="9734" width="70.85546875" customWidth="1"/>
    <col min="9735" max="9735" width="20.5703125" customWidth="1"/>
    <col min="9736" max="9736" width="71.42578125" customWidth="1"/>
    <col min="9737" max="9737" width="55.85546875" customWidth="1"/>
    <col min="9738" max="9738" width="50" customWidth="1"/>
    <col min="9739" max="9739" width="40.42578125" customWidth="1"/>
    <col min="9985" max="9985" width="79" customWidth="1"/>
    <col min="9986" max="9986" width="42.5703125" customWidth="1"/>
    <col min="9987" max="9987" width="57.28515625" customWidth="1"/>
    <col min="9988" max="9988" width="54.7109375" customWidth="1"/>
    <col min="9989" max="9989" width="22.42578125" customWidth="1"/>
    <col min="9990" max="9990" width="70.85546875" customWidth="1"/>
    <col min="9991" max="9991" width="20.5703125" customWidth="1"/>
    <col min="9992" max="9992" width="71.42578125" customWidth="1"/>
    <col min="9993" max="9993" width="55.85546875" customWidth="1"/>
    <col min="9994" max="9994" width="50" customWidth="1"/>
    <col min="9995" max="9995" width="40.42578125" customWidth="1"/>
    <col min="10241" max="10241" width="79" customWidth="1"/>
    <col min="10242" max="10242" width="42.5703125" customWidth="1"/>
    <col min="10243" max="10243" width="57.28515625" customWidth="1"/>
    <col min="10244" max="10244" width="54.7109375" customWidth="1"/>
    <col min="10245" max="10245" width="22.42578125" customWidth="1"/>
    <col min="10246" max="10246" width="70.85546875" customWidth="1"/>
    <col min="10247" max="10247" width="20.5703125" customWidth="1"/>
    <col min="10248" max="10248" width="71.42578125" customWidth="1"/>
    <col min="10249" max="10249" width="55.85546875" customWidth="1"/>
    <col min="10250" max="10250" width="50" customWidth="1"/>
    <col min="10251" max="10251" width="40.42578125" customWidth="1"/>
    <col min="10497" max="10497" width="79" customWidth="1"/>
    <col min="10498" max="10498" width="42.5703125" customWidth="1"/>
    <col min="10499" max="10499" width="57.28515625" customWidth="1"/>
    <col min="10500" max="10500" width="54.7109375" customWidth="1"/>
    <col min="10501" max="10501" width="22.42578125" customWidth="1"/>
    <col min="10502" max="10502" width="70.85546875" customWidth="1"/>
    <col min="10503" max="10503" width="20.5703125" customWidth="1"/>
    <col min="10504" max="10504" width="71.42578125" customWidth="1"/>
    <col min="10505" max="10505" width="55.85546875" customWidth="1"/>
    <col min="10506" max="10506" width="50" customWidth="1"/>
    <col min="10507" max="10507" width="40.42578125" customWidth="1"/>
    <col min="10753" max="10753" width="79" customWidth="1"/>
    <col min="10754" max="10754" width="42.5703125" customWidth="1"/>
    <col min="10755" max="10755" width="57.28515625" customWidth="1"/>
    <col min="10756" max="10756" width="54.7109375" customWidth="1"/>
    <col min="10757" max="10757" width="22.42578125" customWidth="1"/>
    <col min="10758" max="10758" width="70.85546875" customWidth="1"/>
    <col min="10759" max="10759" width="20.5703125" customWidth="1"/>
    <col min="10760" max="10760" width="71.42578125" customWidth="1"/>
    <col min="10761" max="10761" width="55.85546875" customWidth="1"/>
    <col min="10762" max="10762" width="50" customWidth="1"/>
    <col min="10763" max="10763" width="40.42578125" customWidth="1"/>
    <col min="11009" max="11009" width="79" customWidth="1"/>
    <col min="11010" max="11010" width="42.5703125" customWidth="1"/>
    <col min="11011" max="11011" width="57.28515625" customWidth="1"/>
    <col min="11012" max="11012" width="54.7109375" customWidth="1"/>
    <col min="11013" max="11013" width="22.42578125" customWidth="1"/>
    <col min="11014" max="11014" width="70.85546875" customWidth="1"/>
    <col min="11015" max="11015" width="20.5703125" customWidth="1"/>
    <col min="11016" max="11016" width="71.42578125" customWidth="1"/>
    <col min="11017" max="11017" width="55.85546875" customWidth="1"/>
    <col min="11018" max="11018" width="50" customWidth="1"/>
    <col min="11019" max="11019" width="40.42578125" customWidth="1"/>
    <col min="11265" max="11265" width="79" customWidth="1"/>
    <col min="11266" max="11266" width="42.5703125" customWidth="1"/>
    <col min="11267" max="11267" width="57.28515625" customWidth="1"/>
    <col min="11268" max="11268" width="54.7109375" customWidth="1"/>
    <col min="11269" max="11269" width="22.42578125" customWidth="1"/>
    <col min="11270" max="11270" width="70.85546875" customWidth="1"/>
    <col min="11271" max="11271" width="20.5703125" customWidth="1"/>
    <col min="11272" max="11272" width="71.42578125" customWidth="1"/>
    <col min="11273" max="11273" width="55.85546875" customWidth="1"/>
    <col min="11274" max="11274" width="50" customWidth="1"/>
    <col min="11275" max="11275" width="40.42578125" customWidth="1"/>
    <col min="11521" max="11521" width="79" customWidth="1"/>
    <col min="11522" max="11522" width="42.5703125" customWidth="1"/>
    <col min="11523" max="11523" width="57.28515625" customWidth="1"/>
    <col min="11524" max="11524" width="54.7109375" customWidth="1"/>
    <col min="11525" max="11525" width="22.42578125" customWidth="1"/>
    <col min="11526" max="11526" width="70.85546875" customWidth="1"/>
    <col min="11527" max="11527" width="20.5703125" customWidth="1"/>
    <col min="11528" max="11528" width="71.42578125" customWidth="1"/>
    <col min="11529" max="11529" width="55.85546875" customWidth="1"/>
    <col min="11530" max="11530" width="50" customWidth="1"/>
    <col min="11531" max="11531" width="40.42578125" customWidth="1"/>
    <col min="11777" max="11777" width="79" customWidth="1"/>
    <col min="11778" max="11778" width="42.5703125" customWidth="1"/>
    <col min="11779" max="11779" width="57.28515625" customWidth="1"/>
    <col min="11780" max="11780" width="54.7109375" customWidth="1"/>
    <col min="11781" max="11781" width="22.42578125" customWidth="1"/>
    <col min="11782" max="11782" width="70.85546875" customWidth="1"/>
    <col min="11783" max="11783" width="20.5703125" customWidth="1"/>
    <col min="11784" max="11784" width="71.42578125" customWidth="1"/>
    <col min="11785" max="11785" width="55.85546875" customWidth="1"/>
    <col min="11786" max="11786" width="50" customWidth="1"/>
    <col min="11787" max="11787" width="40.42578125" customWidth="1"/>
    <col min="12033" max="12033" width="79" customWidth="1"/>
    <col min="12034" max="12034" width="42.5703125" customWidth="1"/>
    <col min="12035" max="12035" width="57.28515625" customWidth="1"/>
    <col min="12036" max="12036" width="54.7109375" customWidth="1"/>
    <col min="12037" max="12037" width="22.42578125" customWidth="1"/>
    <col min="12038" max="12038" width="70.85546875" customWidth="1"/>
    <col min="12039" max="12039" width="20.5703125" customWidth="1"/>
    <col min="12040" max="12040" width="71.42578125" customWidth="1"/>
    <col min="12041" max="12041" width="55.85546875" customWidth="1"/>
    <col min="12042" max="12042" width="50" customWidth="1"/>
    <col min="12043" max="12043" width="40.42578125" customWidth="1"/>
    <col min="12289" max="12289" width="79" customWidth="1"/>
    <col min="12290" max="12290" width="42.5703125" customWidth="1"/>
    <col min="12291" max="12291" width="57.28515625" customWidth="1"/>
    <col min="12292" max="12292" width="54.7109375" customWidth="1"/>
    <col min="12293" max="12293" width="22.42578125" customWidth="1"/>
    <col min="12294" max="12294" width="70.85546875" customWidth="1"/>
    <col min="12295" max="12295" width="20.5703125" customWidth="1"/>
    <col min="12296" max="12296" width="71.42578125" customWidth="1"/>
    <col min="12297" max="12297" width="55.85546875" customWidth="1"/>
    <col min="12298" max="12298" width="50" customWidth="1"/>
    <col min="12299" max="12299" width="40.42578125" customWidth="1"/>
    <col min="12545" max="12545" width="79" customWidth="1"/>
    <col min="12546" max="12546" width="42.5703125" customWidth="1"/>
    <col min="12547" max="12547" width="57.28515625" customWidth="1"/>
    <col min="12548" max="12548" width="54.7109375" customWidth="1"/>
    <col min="12549" max="12549" width="22.42578125" customWidth="1"/>
    <col min="12550" max="12550" width="70.85546875" customWidth="1"/>
    <col min="12551" max="12551" width="20.5703125" customWidth="1"/>
    <col min="12552" max="12552" width="71.42578125" customWidth="1"/>
    <col min="12553" max="12553" width="55.85546875" customWidth="1"/>
    <col min="12554" max="12554" width="50" customWidth="1"/>
    <col min="12555" max="12555" width="40.42578125" customWidth="1"/>
    <col min="12801" max="12801" width="79" customWidth="1"/>
    <col min="12802" max="12802" width="42.5703125" customWidth="1"/>
    <col min="12803" max="12803" width="57.28515625" customWidth="1"/>
    <col min="12804" max="12804" width="54.7109375" customWidth="1"/>
    <col min="12805" max="12805" width="22.42578125" customWidth="1"/>
    <col min="12806" max="12806" width="70.85546875" customWidth="1"/>
    <col min="12807" max="12807" width="20.5703125" customWidth="1"/>
    <col min="12808" max="12808" width="71.42578125" customWidth="1"/>
    <col min="12809" max="12809" width="55.85546875" customWidth="1"/>
    <col min="12810" max="12810" width="50" customWidth="1"/>
    <col min="12811" max="12811" width="40.42578125" customWidth="1"/>
    <col min="13057" max="13057" width="79" customWidth="1"/>
    <col min="13058" max="13058" width="42.5703125" customWidth="1"/>
    <col min="13059" max="13059" width="57.28515625" customWidth="1"/>
    <col min="13060" max="13060" width="54.7109375" customWidth="1"/>
    <col min="13061" max="13061" width="22.42578125" customWidth="1"/>
    <col min="13062" max="13062" width="70.85546875" customWidth="1"/>
    <col min="13063" max="13063" width="20.5703125" customWidth="1"/>
    <col min="13064" max="13064" width="71.42578125" customWidth="1"/>
    <col min="13065" max="13065" width="55.85546875" customWidth="1"/>
    <col min="13066" max="13066" width="50" customWidth="1"/>
    <col min="13067" max="13067" width="40.42578125" customWidth="1"/>
    <col min="13313" max="13313" width="79" customWidth="1"/>
    <col min="13314" max="13314" width="42.5703125" customWidth="1"/>
    <col min="13315" max="13315" width="57.28515625" customWidth="1"/>
    <col min="13316" max="13316" width="54.7109375" customWidth="1"/>
    <col min="13317" max="13317" width="22.42578125" customWidth="1"/>
    <col min="13318" max="13318" width="70.85546875" customWidth="1"/>
    <col min="13319" max="13319" width="20.5703125" customWidth="1"/>
    <col min="13320" max="13320" width="71.42578125" customWidth="1"/>
    <col min="13321" max="13321" width="55.85546875" customWidth="1"/>
    <col min="13322" max="13322" width="50" customWidth="1"/>
    <col min="13323" max="13323" width="40.42578125" customWidth="1"/>
    <col min="13569" max="13569" width="79" customWidth="1"/>
    <col min="13570" max="13570" width="42.5703125" customWidth="1"/>
    <col min="13571" max="13571" width="57.28515625" customWidth="1"/>
    <col min="13572" max="13572" width="54.7109375" customWidth="1"/>
    <col min="13573" max="13573" width="22.42578125" customWidth="1"/>
    <col min="13574" max="13574" width="70.85546875" customWidth="1"/>
    <col min="13575" max="13575" width="20.5703125" customWidth="1"/>
    <col min="13576" max="13576" width="71.42578125" customWidth="1"/>
    <col min="13577" max="13577" width="55.85546875" customWidth="1"/>
    <col min="13578" max="13578" width="50" customWidth="1"/>
    <col min="13579" max="13579" width="40.42578125" customWidth="1"/>
    <col min="13825" max="13825" width="79" customWidth="1"/>
    <col min="13826" max="13826" width="42.5703125" customWidth="1"/>
    <col min="13827" max="13827" width="57.28515625" customWidth="1"/>
    <col min="13828" max="13828" width="54.7109375" customWidth="1"/>
    <col min="13829" max="13829" width="22.42578125" customWidth="1"/>
    <col min="13830" max="13830" width="70.85546875" customWidth="1"/>
    <col min="13831" max="13831" width="20.5703125" customWidth="1"/>
    <col min="13832" max="13832" width="71.42578125" customWidth="1"/>
    <col min="13833" max="13833" width="55.85546875" customWidth="1"/>
    <col min="13834" max="13834" width="50" customWidth="1"/>
    <col min="13835" max="13835" width="40.42578125" customWidth="1"/>
    <col min="14081" max="14081" width="79" customWidth="1"/>
    <col min="14082" max="14082" width="42.5703125" customWidth="1"/>
    <col min="14083" max="14083" width="57.28515625" customWidth="1"/>
    <col min="14084" max="14084" width="54.7109375" customWidth="1"/>
    <col min="14085" max="14085" width="22.42578125" customWidth="1"/>
    <col min="14086" max="14086" width="70.85546875" customWidth="1"/>
    <col min="14087" max="14087" width="20.5703125" customWidth="1"/>
    <col min="14088" max="14088" width="71.42578125" customWidth="1"/>
    <col min="14089" max="14089" width="55.85546875" customWidth="1"/>
    <col min="14090" max="14090" width="50" customWidth="1"/>
    <col min="14091" max="14091" width="40.42578125" customWidth="1"/>
    <col min="14337" max="14337" width="79" customWidth="1"/>
    <col min="14338" max="14338" width="42.5703125" customWidth="1"/>
    <col min="14339" max="14339" width="57.28515625" customWidth="1"/>
    <col min="14340" max="14340" width="54.7109375" customWidth="1"/>
    <col min="14341" max="14341" width="22.42578125" customWidth="1"/>
    <col min="14342" max="14342" width="70.85546875" customWidth="1"/>
    <col min="14343" max="14343" width="20.5703125" customWidth="1"/>
    <col min="14344" max="14344" width="71.42578125" customWidth="1"/>
    <col min="14345" max="14345" width="55.85546875" customWidth="1"/>
    <col min="14346" max="14346" width="50" customWidth="1"/>
    <col min="14347" max="14347" width="40.42578125" customWidth="1"/>
    <col min="14593" max="14593" width="79" customWidth="1"/>
    <col min="14594" max="14594" width="42.5703125" customWidth="1"/>
    <col min="14595" max="14595" width="57.28515625" customWidth="1"/>
    <col min="14596" max="14596" width="54.7109375" customWidth="1"/>
    <col min="14597" max="14597" width="22.42578125" customWidth="1"/>
    <col min="14598" max="14598" width="70.85546875" customWidth="1"/>
    <col min="14599" max="14599" width="20.5703125" customWidth="1"/>
    <col min="14600" max="14600" width="71.42578125" customWidth="1"/>
    <col min="14601" max="14601" width="55.85546875" customWidth="1"/>
    <col min="14602" max="14602" width="50" customWidth="1"/>
    <col min="14603" max="14603" width="40.42578125" customWidth="1"/>
    <col min="14849" max="14849" width="79" customWidth="1"/>
    <col min="14850" max="14850" width="42.5703125" customWidth="1"/>
    <col min="14851" max="14851" width="57.28515625" customWidth="1"/>
    <col min="14852" max="14852" width="54.7109375" customWidth="1"/>
    <col min="14853" max="14853" width="22.42578125" customWidth="1"/>
    <col min="14854" max="14854" width="70.85546875" customWidth="1"/>
    <col min="14855" max="14855" width="20.5703125" customWidth="1"/>
    <col min="14856" max="14856" width="71.42578125" customWidth="1"/>
    <col min="14857" max="14857" width="55.85546875" customWidth="1"/>
    <col min="14858" max="14858" width="50" customWidth="1"/>
    <col min="14859" max="14859" width="40.42578125" customWidth="1"/>
    <col min="15105" max="15105" width="79" customWidth="1"/>
    <col min="15106" max="15106" width="42.5703125" customWidth="1"/>
    <col min="15107" max="15107" width="57.28515625" customWidth="1"/>
    <col min="15108" max="15108" width="54.7109375" customWidth="1"/>
    <col min="15109" max="15109" width="22.42578125" customWidth="1"/>
    <col min="15110" max="15110" width="70.85546875" customWidth="1"/>
    <col min="15111" max="15111" width="20.5703125" customWidth="1"/>
    <col min="15112" max="15112" width="71.42578125" customWidth="1"/>
    <col min="15113" max="15113" width="55.85546875" customWidth="1"/>
    <col min="15114" max="15114" width="50" customWidth="1"/>
    <col min="15115" max="15115" width="40.42578125" customWidth="1"/>
    <col min="15361" max="15361" width="79" customWidth="1"/>
    <col min="15362" max="15362" width="42.5703125" customWidth="1"/>
    <col min="15363" max="15363" width="57.28515625" customWidth="1"/>
    <col min="15364" max="15364" width="54.7109375" customWidth="1"/>
    <col min="15365" max="15365" width="22.42578125" customWidth="1"/>
    <col min="15366" max="15366" width="70.85546875" customWidth="1"/>
    <col min="15367" max="15367" width="20.5703125" customWidth="1"/>
    <col min="15368" max="15368" width="71.42578125" customWidth="1"/>
    <col min="15369" max="15369" width="55.85546875" customWidth="1"/>
    <col min="15370" max="15370" width="50" customWidth="1"/>
    <col min="15371" max="15371" width="40.42578125" customWidth="1"/>
    <col min="15617" max="15617" width="79" customWidth="1"/>
    <col min="15618" max="15618" width="42.5703125" customWidth="1"/>
    <col min="15619" max="15619" width="57.28515625" customWidth="1"/>
    <col min="15620" max="15620" width="54.7109375" customWidth="1"/>
    <col min="15621" max="15621" width="22.42578125" customWidth="1"/>
    <col min="15622" max="15622" width="70.85546875" customWidth="1"/>
    <col min="15623" max="15623" width="20.5703125" customWidth="1"/>
    <col min="15624" max="15624" width="71.42578125" customWidth="1"/>
    <col min="15625" max="15625" width="55.85546875" customWidth="1"/>
    <col min="15626" max="15626" width="50" customWidth="1"/>
    <col min="15627" max="15627" width="40.42578125" customWidth="1"/>
    <col min="15873" max="15873" width="79" customWidth="1"/>
    <col min="15874" max="15874" width="42.5703125" customWidth="1"/>
    <col min="15875" max="15875" width="57.28515625" customWidth="1"/>
    <col min="15876" max="15876" width="54.7109375" customWidth="1"/>
    <col min="15877" max="15877" width="22.42578125" customWidth="1"/>
    <col min="15878" max="15878" width="70.85546875" customWidth="1"/>
    <col min="15879" max="15879" width="20.5703125" customWidth="1"/>
    <col min="15880" max="15880" width="71.42578125" customWidth="1"/>
    <col min="15881" max="15881" width="55.85546875" customWidth="1"/>
    <col min="15882" max="15882" width="50" customWidth="1"/>
    <col min="15883" max="15883" width="40.42578125" customWidth="1"/>
    <col min="16129" max="16129" width="79" customWidth="1"/>
    <col min="16130" max="16130" width="42.5703125" customWidth="1"/>
    <col min="16131" max="16131" width="57.28515625" customWidth="1"/>
    <col min="16132" max="16132" width="54.7109375" customWidth="1"/>
    <col min="16133" max="16133" width="22.42578125" customWidth="1"/>
    <col min="16134" max="16134" width="70.85546875" customWidth="1"/>
    <col min="16135" max="16135" width="20.5703125" customWidth="1"/>
    <col min="16136" max="16136" width="71.42578125" customWidth="1"/>
    <col min="16137" max="16137" width="55.85546875" customWidth="1"/>
    <col min="16138" max="16138" width="50" customWidth="1"/>
    <col min="16139" max="16139" width="40.42578125" customWidth="1"/>
  </cols>
  <sheetData>
    <row r="1" spans="1:3" ht="20.25" x14ac:dyDescent="0.3">
      <c r="A1" s="127" t="s">
        <v>381</v>
      </c>
    </row>
    <row r="3" spans="1:3" x14ac:dyDescent="0.25">
      <c r="A3" s="131" t="s">
        <v>382</v>
      </c>
      <c r="B3" s="125"/>
      <c r="C3" s="132"/>
    </row>
    <row r="4" spans="1:3" x14ac:dyDescent="0.25">
      <c r="A4" s="125" t="s">
        <v>383</v>
      </c>
      <c r="B4" s="125">
        <v>1</v>
      </c>
      <c r="C4" s="132"/>
    </row>
    <row r="5" spans="1:3" x14ac:dyDescent="0.25">
      <c r="A5" s="125"/>
      <c r="B5" s="125"/>
      <c r="C5" s="132"/>
    </row>
    <row r="6" spans="1:3" x14ac:dyDescent="0.25">
      <c r="A6" s="131" t="s">
        <v>384</v>
      </c>
      <c r="B6" s="125"/>
      <c r="C6" s="132"/>
    </row>
    <row r="7" spans="1:3" x14ac:dyDescent="0.25">
      <c r="A7" s="125" t="s">
        <v>385</v>
      </c>
      <c r="B7" s="125"/>
      <c r="C7" s="132"/>
    </row>
    <row r="8" spans="1:3" x14ac:dyDescent="0.25">
      <c r="A8" s="125" t="s">
        <v>386</v>
      </c>
      <c r="B8" s="125">
        <v>1</v>
      </c>
      <c r="C8" s="132"/>
    </row>
    <row r="9" spans="1:3" x14ac:dyDescent="0.25">
      <c r="A9" s="125"/>
      <c r="B9" s="125"/>
      <c r="C9" s="132"/>
    </row>
    <row r="10" spans="1:3" x14ac:dyDescent="0.25">
      <c r="A10" s="131" t="s">
        <v>387</v>
      </c>
      <c r="B10" s="125"/>
      <c r="C10" s="132"/>
    </row>
    <row r="11" spans="1:3" x14ac:dyDescent="0.25">
      <c r="A11" s="125" t="s">
        <v>388</v>
      </c>
      <c r="B11" s="125">
        <v>1</v>
      </c>
      <c r="C11" s="132"/>
    </row>
    <row r="12" spans="1:3" x14ac:dyDescent="0.25">
      <c r="A12" s="125"/>
      <c r="B12" s="125"/>
      <c r="C12" s="132"/>
    </row>
    <row r="13" spans="1:3" x14ac:dyDescent="0.25">
      <c r="A13" s="131" t="s">
        <v>389</v>
      </c>
      <c r="B13" s="125"/>
      <c r="C13" s="132"/>
    </row>
    <row r="14" spans="1:3" x14ac:dyDescent="0.25">
      <c r="A14" s="125" t="s">
        <v>390</v>
      </c>
      <c r="B14" s="125"/>
      <c r="C14" s="132"/>
    </row>
    <row r="15" spans="1:3" x14ac:dyDescent="0.25">
      <c r="A15" s="125" t="s">
        <v>391</v>
      </c>
      <c r="B15" s="125"/>
      <c r="C15" s="132"/>
    </row>
    <row r="16" spans="1:3" x14ac:dyDescent="0.25">
      <c r="A16" s="125" t="s">
        <v>392</v>
      </c>
      <c r="B16" s="125"/>
      <c r="C16" s="132"/>
    </row>
    <row r="17" spans="1:8" x14ac:dyDescent="0.25">
      <c r="A17" s="125"/>
      <c r="B17" s="125">
        <v>1</v>
      </c>
      <c r="C17" s="132"/>
    </row>
    <row r="18" spans="1:8" x14ac:dyDescent="0.25">
      <c r="A18" s="116" t="s">
        <v>393</v>
      </c>
      <c r="C18" s="132"/>
    </row>
    <row r="19" spans="1:8" x14ac:dyDescent="0.25">
      <c r="A19" s="117" t="s">
        <v>390</v>
      </c>
      <c r="B19" t="str">
        <f>IF(B8=1,"Ja","N.v.t.")</f>
        <v>Ja</v>
      </c>
      <c r="C19" s="132"/>
    </row>
    <row r="20" spans="1:8" x14ac:dyDescent="0.25">
      <c r="A20" s="117" t="s">
        <v>394</v>
      </c>
      <c r="B20" t="str">
        <f>IF(B8=1,"Nee","")</f>
        <v>Nee</v>
      </c>
      <c r="C20" s="132"/>
    </row>
    <row r="21" spans="1:8" x14ac:dyDescent="0.25">
      <c r="A21" s="117" t="s">
        <v>395</v>
      </c>
      <c r="C21" s="132"/>
    </row>
    <row r="22" spans="1:8" x14ac:dyDescent="0.25">
      <c r="A22" s="117" t="s">
        <v>396</v>
      </c>
      <c r="B22">
        <v>2</v>
      </c>
      <c r="C22" s="132"/>
    </row>
    <row r="23" spans="1:8" x14ac:dyDescent="0.25">
      <c r="A23" s="117"/>
      <c r="C23" s="132"/>
    </row>
    <row r="24" spans="1:8" x14ac:dyDescent="0.25">
      <c r="A24" s="116" t="s">
        <v>397</v>
      </c>
      <c r="C24" s="132"/>
    </row>
    <row r="25" spans="1:8" x14ac:dyDescent="0.25">
      <c r="A25" s="117" t="s">
        <v>398</v>
      </c>
      <c r="B25">
        <v>1</v>
      </c>
      <c r="C25" s="132"/>
    </row>
    <row r="26" spans="1:8" x14ac:dyDescent="0.25">
      <c r="A26" s="125"/>
      <c r="B26" s="125"/>
      <c r="C26" s="132"/>
    </row>
    <row r="27" spans="1:8" ht="18" x14ac:dyDescent="0.25">
      <c r="A27" s="128" t="s">
        <v>399</v>
      </c>
      <c r="B27" s="125"/>
      <c r="C27" s="132"/>
    </row>
    <row r="28" spans="1:8" x14ac:dyDescent="0.25">
      <c r="A28" s="125"/>
      <c r="B28" s="125"/>
      <c r="C28" s="132"/>
    </row>
    <row r="29" spans="1:8" x14ac:dyDescent="0.25">
      <c r="A29" s="116" t="s">
        <v>400</v>
      </c>
    </row>
    <row r="30" spans="1:8" x14ac:dyDescent="0.25">
      <c r="A30" s="117" t="s">
        <v>401</v>
      </c>
      <c r="F30" s="116"/>
      <c r="H30" s="116"/>
    </row>
    <row r="31" spans="1:8" x14ac:dyDescent="0.25">
      <c r="A31" s="117" t="s">
        <v>402</v>
      </c>
      <c r="F31" s="116"/>
      <c r="H31" s="116"/>
    </row>
    <row r="32" spans="1:8" x14ac:dyDescent="0.25">
      <c r="A32">
        <v>1</v>
      </c>
      <c r="F32" s="116"/>
      <c r="H32" s="116"/>
    </row>
    <row r="33" spans="1:11" x14ac:dyDescent="0.25">
      <c r="A33" s="116" t="s">
        <v>403</v>
      </c>
      <c r="B33" s="116" t="s">
        <v>404</v>
      </c>
      <c r="C33" s="116" t="s">
        <v>405</v>
      </c>
      <c r="D33" s="116" t="s">
        <v>406</v>
      </c>
      <c r="E33" s="133"/>
      <c r="G33" s="133"/>
    </row>
    <row r="34" spans="1:11" x14ac:dyDescent="0.25">
      <c r="A34" s="117" t="s">
        <v>390</v>
      </c>
      <c r="B34" s="117" t="str">
        <f>IF(AND(A215="Hernieuwbaar gas",Productie_en_afzet!B17&lt;390),"Ja",IF(AND(A215="Hernieuwbaar gas",Productie_en_afzet!B17&gt;=390),"","Niet van toepassing"))</f>
        <v>Niet van toepassing</v>
      </c>
      <c r="C34" s="117" t="str">
        <f>IF(A215="CO₂-opslag","Ja","Niet van toepassing")</f>
        <v>Niet van toepassing</v>
      </c>
      <c r="D34" t="str">
        <f>IF(Productie_en_afzet!A14="","Ja","Niet van toepassing")</f>
        <v>Niet van toepassing</v>
      </c>
      <c r="E34" s="133"/>
      <c r="F34" s="117"/>
      <c r="G34" s="133"/>
    </row>
    <row r="35" spans="1:11" x14ac:dyDescent="0.25">
      <c r="A35" s="117" t="s">
        <v>394</v>
      </c>
      <c r="B35" s="117" t="str">
        <f>IF(AND(A215="Hernieuwbaar gas",Productie_en_afzet!B17&lt;390),"Nee","")</f>
        <v/>
      </c>
      <c r="C35" s="117" t="str">
        <f>IF(A215="CO₂-opslag","Nee","")</f>
        <v/>
      </c>
      <c r="D35" t="str">
        <f>IF(Productie_en_afzet!A14="Niet van toepassing","","Nee")</f>
        <v/>
      </c>
      <c r="E35" s="133"/>
      <c r="G35" s="133"/>
      <c r="H35" s="117"/>
      <c r="I35" s="116"/>
      <c r="J35" s="116"/>
      <c r="K35" s="116"/>
    </row>
    <row r="36" spans="1:11" x14ac:dyDescent="0.25">
      <c r="A36" s="117" t="s">
        <v>395</v>
      </c>
      <c r="B36" s="117"/>
      <c r="C36" s="117"/>
      <c r="E36" s="133"/>
      <c r="F36" s="117"/>
      <c r="H36" s="117"/>
      <c r="I36" s="117"/>
      <c r="J36" s="117"/>
    </row>
    <row r="37" spans="1:11" x14ac:dyDescent="0.25">
      <c r="A37" s="117"/>
      <c r="B37" s="117"/>
      <c r="E37" s="133"/>
      <c r="F37" s="117"/>
      <c r="H37" s="117"/>
      <c r="I37" s="117"/>
      <c r="J37" s="117"/>
    </row>
    <row r="38" spans="1:11" x14ac:dyDescent="0.25">
      <c r="A38" s="116" t="s">
        <v>407</v>
      </c>
      <c r="E38" s="133"/>
      <c r="F38" s="117"/>
      <c r="H38" s="117"/>
      <c r="I38" s="117"/>
      <c r="J38" s="117"/>
    </row>
    <row r="39" spans="1:11" x14ac:dyDescent="0.25">
      <c r="A39" s="117" t="s">
        <v>408</v>
      </c>
      <c r="B39">
        <v>1</v>
      </c>
      <c r="C39" s="117">
        <v>1</v>
      </c>
      <c r="E39" s="133"/>
      <c r="H39" s="117"/>
      <c r="I39" s="117"/>
      <c r="J39" s="117"/>
    </row>
    <row r="40" spans="1:11" x14ac:dyDescent="0.25">
      <c r="E40" s="133"/>
      <c r="F40" s="117"/>
      <c r="H40" s="117"/>
      <c r="I40" s="117"/>
      <c r="J40" s="117"/>
      <c r="K40" s="117"/>
    </row>
    <row r="41" spans="1:11" x14ac:dyDescent="0.25">
      <c r="A41" s="116" t="s">
        <v>409</v>
      </c>
      <c r="E41" s="133"/>
      <c r="F41" s="117"/>
      <c r="H41" s="117"/>
      <c r="I41" s="117"/>
      <c r="J41" s="117"/>
      <c r="K41" s="117"/>
    </row>
    <row r="42" spans="1:11" x14ac:dyDescent="0.25">
      <c r="A42" s="117" t="s">
        <v>410</v>
      </c>
      <c r="B42" s="117">
        <f>IF(VLOOKUP(Hulpblad_categorieën_parameters!D75,Hulpblad_categorieën_parameters!A81:Y303,23,FALSE)="Biomassa",0,
IF(VLOOKUP(Hulpblad_categorieën_parameters!D75,Hulpblad_categorieën_parameters!A81:Y303,23,FALSE)="Biomassa voortzetting (renovatie)",0,
IF(VLOOKUP(Hulpblad_categorieën_parameters!D75,Hulpblad_categorieën_parameters!A81:Y303,23,FALSE)="Biomassa, extra eisen",0,
IF(VLOOKUP(Hulpblad_categorieën_parameters!D75,Hulpblad_categorieën_parameters!A81:Y303,23,FALSE)="Biomassa voortzetting (renovatie), extra eisen",0,
IF(VLOOKUP(Hulpblad_categorieën_parameters!D75,Hulpblad_categorieën_parameters!A81:Y303,23,FALSE)="Biomassa extra faciliteit (ombouw)",0,
IF(VLOOKUP(Hulpblad_categorieën_parameters!D75,Hulpblad_categorieën_parameters!A81:Y303,23,FALSE)="RWZI, verbeterde slibgisting",0,1))))))</f>
        <v>1</v>
      </c>
      <c r="E42" s="133"/>
      <c r="F42" s="117"/>
      <c r="H42" s="117"/>
      <c r="I42" s="117"/>
      <c r="J42" s="117"/>
      <c r="K42" s="117"/>
    </row>
    <row r="43" spans="1:11" x14ac:dyDescent="0.25">
      <c r="A43" s="117"/>
      <c r="B43" s="117"/>
      <c r="E43" s="133"/>
      <c r="F43" s="117"/>
      <c r="H43" s="117"/>
      <c r="I43" s="117"/>
      <c r="J43" s="117"/>
      <c r="K43" s="117"/>
    </row>
    <row r="44" spans="1:11" x14ac:dyDescent="0.25">
      <c r="A44" s="116" t="s">
        <v>411</v>
      </c>
      <c r="B44" s="117"/>
      <c r="E44" s="133"/>
      <c r="F44" s="118"/>
      <c r="H44" s="117"/>
      <c r="I44" s="117"/>
      <c r="J44" s="117"/>
      <c r="K44" s="117"/>
    </row>
    <row r="45" spans="1:11" ht="12" customHeight="1" x14ac:dyDescent="0.25">
      <c r="A45" s="117" t="s">
        <v>410</v>
      </c>
      <c r="B45" s="117">
        <f>IF(VLOOKUP(Hulpblad_categorieën_parameters!D75,Hulpblad_categorieën_parameters!A81:Y303,24,FALSE)="CO₂-opslag",0,1)</f>
        <v>1</v>
      </c>
      <c r="F45" s="117"/>
      <c r="H45" s="117"/>
      <c r="I45" s="117"/>
    </row>
    <row r="46" spans="1:11" ht="12" customHeight="1" x14ac:dyDescent="0.25">
      <c r="A46" s="117"/>
      <c r="B46" s="117"/>
      <c r="F46" s="117"/>
      <c r="H46" s="117"/>
      <c r="I46" s="117"/>
    </row>
    <row r="47" spans="1:11" ht="12" customHeight="1" x14ac:dyDescent="0.25">
      <c r="A47" s="117"/>
      <c r="B47" s="117"/>
      <c r="F47" s="117"/>
      <c r="H47" s="117"/>
      <c r="I47" s="117"/>
    </row>
    <row r="48" spans="1:11" ht="12" customHeight="1" x14ac:dyDescent="0.25">
      <c r="A48" s="116" t="s">
        <v>540</v>
      </c>
      <c r="B48" s="117"/>
      <c r="F48" s="117"/>
      <c r="H48" s="117"/>
      <c r="I48" s="117"/>
    </row>
    <row r="49" spans="1:9" ht="12" customHeight="1" x14ac:dyDescent="0.25">
      <c r="A49" s="123" t="s">
        <v>541</v>
      </c>
      <c r="B49" s="123" t="s">
        <v>542</v>
      </c>
      <c r="F49" s="117"/>
      <c r="H49" s="117"/>
      <c r="I49" s="117"/>
    </row>
    <row r="50" spans="1:9" ht="12" customHeight="1" x14ac:dyDescent="0.25">
      <c r="A50" s="117">
        <v>1</v>
      </c>
      <c r="B50" s="232" t="e">
        <f>IF(Exploitatieberekening!$B$31&lt;100%,SUM(Exploitatieberekening!$O$144:'Exploitatieberekening'!$O$144)/(SUM(Exploitatieberekening!$O$125:'Exploitatieberekening'!$O$125)+SUM(Exploitatieberekening!$O$126:'Exploitatieberekening'!$O$126)),"n.v.t., geen vreemd vermogen")</f>
        <v>#DIV/0!</v>
      </c>
      <c r="F50" s="117"/>
      <c r="H50" s="117"/>
      <c r="I50" s="117"/>
    </row>
    <row r="51" spans="1:9" ht="12" customHeight="1" x14ac:dyDescent="0.25">
      <c r="A51" s="117">
        <v>2</v>
      </c>
      <c r="B51" s="232" t="e">
        <f>IF(Exploitatieberekening!$B$31&lt;100%,SUM(Exploitatieberekening!$O$144:'Exploitatieberekening'!$P$144)/(SUM(Exploitatieberekening!$O$125:'Exploitatieberekening'!$P$125)+SUM(Exploitatieberekening!$O$126:'Exploitatieberekening'!$P$126)),"n.v.t., geen vreemd vermogen")</f>
        <v>#DIV/0!</v>
      </c>
      <c r="F51" s="117"/>
      <c r="H51" s="117"/>
      <c r="I51" s="117"/>
    </row>
    <row r="52" spans="1:9" ht="12" customHeight="1" x14ac:dyDescent="0.25">
      <c r="A52" s="117">
        <v>3</v>
      </c>
      <c r="B52" s="232" t="e">
        <f>IF(Exploitatieberekening!$B$31&lt;100%,SUM(Exploitatieberekening!$O$144:'Exploitatieberekening'!$Q$144)/(SUM(Exploitatieberekening!$O$125:'Exploitatieberekening'!$Q$125)+SUM(Exploitatieberekening!$O$126:'Exploitatieberekening'!$Q$126)),"n.v.t., geen vreemd vermogen")</f>
        <v>#DIV/0!</v>
      </c>
      <c r="F52" s="117"/>
      <c r="H52" s="117"/>
      <c r="I52" s="117"/>
    </row>
    <row r="53" spans="1:9" ht="12" customHeight="1" x14ac:dyDescent="0.25">
      <c r="A53" s="117">
        <v>4</v>
      </c>
      <c r="B53" s="232" t="e">
        <f>IF(Exploitatieberekening!$B$31&lt;100%,SUM(Exploitatieberekening!$O$144:'Exploitatieberekening'!$R$144)/(SUM(Exploitatieberekening!$O$125:'Exploitatieberekening'!$R$125)+SUM(Exploitatieberekening!$O$126:'Exploitatieberekening'!$R$126)),"n.v.t., geen vreemd vermogen")</f>
        <v>#DIV/0!</v>
      </c>
      <c r="F53" s="117"/>
      <c r="H53" s="117"/>
      <c r="I53" s="117"/>
    </row>
    <row r="54" spans="1:9" ht="12" customHeight="1" x14ac:dyDescent="0.25">
      <c r="A54" s="117">
        <v>5</v>
      </c>
      <c r="B54" s="232" t="e">
        <f>IF(Exploitatieberekening!$B$31&lt;100%,SUM(Exploitatieberekening!$O$144:'Exploitatieberekening'!$S$144)/(SUM(Exploitatieberekening!$O$125:'Exploitatieberekening'!$S$125)+SUM(Exploitatieberekening!$O$126:'Exploitatieberekening'!$S$126)),"n.v.t., geen vreemd vermogen")</f>
        <v>#DIV/0!</v>
      </c>
      <c r="F54" s="117"/>
      <c r="H54" s="117"/>
      <c r="I54" s="117"/>
    </row>
    <row r="55" spans="1:9" ht="12" customHeight="1" x14ac:dyDescent="0.25">
      <c r="A55" s="117">
        <v>6</v>
      </c>
      <c r="B55" s="232" t="e">
        <f>IF(Exploitatieberekening!$B$31&lt;100%,SUM(Exploitatieberekening!$O$144:'Exploitatieberekening'!$T$144)/(SUM(Exploitatieberekening!$O$125:'Exploitatieberekening'!$T$125)+SUM(Exploitatieberekening!$O$126:'Exploitatieberekening'!$T$126)),"n.v.t., geen vreemd vermogen")</f>
        <v>#DIV/0!</v>
      </c>
      <c r="F55" s="117"/>
      <c r="H55" s="117"/>
      <c r="I55" s="117"/>
    </row>
    <row r="56" spans="1:9" ht="12" customHeight="1" x14ac:dyDescent="0.25">
      <c r="A56" s="117">
        <v>7</v>
      </c>
      <c r="B56" s="232" t="e">
        <f>IF(Exploitatieberekening!$B$31&lt;100%,SUM(Exploitatieberekening!$O$144:'Exploitatieberekening'!$U$144)/(SUM(Exploitatieberekening!$O$125:'Exploitatieberekening'!$U$125)+SUM(Exploitatieberekening!$O$126:'Exploitatieberekening'!$U$126)),"n.v.t., geen vreemd vermogen")</f>
        <v>#DIV/0!</v>
      </c>
      <c r="F56" s="117"/>
      <c r="H56" s="117"/>
      <c r="I56" s="117"/>
    </row>
    <row r="57" spans="1:9" ht="12" customHeight="1" x14ac:dyDescent="0.25">
      <c r="A57" s="117">
        <v>8</v>
      </c>
      <c r="B57" s="232" t="e">
        <f>IF(Exploitatieberekening!$B$31&lt;100%,SUM(Exploitatieberekening!$O$144:'Exploitatieberekening'!$V$144)/(SUM(Exploitatieberekening!$O$125:'Exploitatieberekening'!$V$125)+SUM(Exploitatieberekening!$O$126:'Exploitatieberekening'!$V$126)),"n.v.t., geen vreemd vermogen")</f>
        <v>#DIV/0!</v>
      </c>
      <c r="F57" s="117"/>
      <c r="H57" s="117"/>
      <c r="I57" s="117"/>
    </row>
    <row r="58" spans="1:9" ht="12" customHeight="1" x14ac:dyDescent="0.25">
      <c r="A58" s="117">
        <v>9</v>
      </c>
      <c r="B58" s="232" t="e">
        <f>IF(Exploitatieberekening!$B$31&lt;100%,SUM(Exploitatieberekening!$O$144:'Exploitatieberekening'!$W$144)/(SUM(Exploitatieberekening!$O$125:'Exploitatieberekening'!$W$125)+SUM(Exploitatieberekening!$O$126:'Exploitatieberekening'!$W$126)),"n.v.t., geen vreemd vermogen")</f>
        <v>#DIV/0!</v>
      </c>
      <c r="F58" s="117"/>
      <c r="H58" s="117"/>
      <c r="I58" s="117"/>
    </row>
    <row r="59" spans="1:9" ht="12" customHeight="1" x14ac:dyDescent="0.25">
      <c r="A59" s="117">
        <v>10</v>
      </c>
      <c r="B59" s="232" t="e">
        <f>IF(Exploitatieberekening!$B$31&lt;100%,SUM(Exploitatieberekening!$O$144:'Exploitatieberekening'!$X$144)/(SUM(Exploitatieberekening!$O$125:'Exploitatieberekening'!$X$125)+SUM(Exploitatieberekening!$O$126:'Exploitatieberekening'!$X$126)),"n.v.t., geen vreemd vermogen")</f>
        <v>#DIV/0!</v>
      </c>
      <c r="F59" s="117"/>
      <c r="H59" s="117"/>
      <c r="I59" s="117"/>
    </row>
    <row r="60" spans="1:9" ht="12" customHeight="1" x14ac:dyDescent="0.25">
      <c r="A60" s="117">
        <v>11</v>
      </c>
      <c r="B60" s="232" t="e">
        <f>IF(Exploitatieberekening!$B$31&lt;100%,SUM(Exploitatieberekening!$O$144:'Exploitatieberekening'!$Y$144)/(SUM(Exploitatieberekening!$O$125:'Exploitatieberekening'!$Y$125)+SUM(Exploitatieberekening!$O$126:'Exploitatieberekening'!$Y$126)),"n.v.t., geen vreemd vermogen")</f>
        <v>#DIV/0!</v>
      </c>
      <c r="F60" s="117"/>
      <c r="H60" s="117"/>
      <c r="I60" s="117"/>
    </row>
    <row r="61" spans="1:9" ht="12" customHeight="1" x14ac:dyDescent="0.25">
      <c r="A61" s="117">
        <v>12</v>
      </c>
      <c r="B61" s="232" t="e">
        <f>IF(Exploitatieberekening!$B$31&lt;100%,SUM(Exploitatieberekening!$O$144:'Exploitatieberekening'!$Z$144)/(SUM(Exploitatieberekening!$O$125:'Exploitatieberekening'!$Z$125)+SUM(Exploitatieberekening!$O$126:'Exploitatieberekening'!$Z$126)),"n.v.t., geen vreemd vermogen")</f>
        <v>#DIV/0!</v>
      </c>
      <c r="F61" s="117"/>
      <c r="H61" s="117"/>
      <c r="I61" s="117"/>
    </row>
    <row r="62" spans="1:9" ht="12" customHeight="1" x14ac:dyDescent="0.25">
      <c r="A62" s="117">
        <v>13</v>
      </c>
      <c r="B62" s="232" t="e">
        <f>IF(Exploitatieberekening!$B$31&lt;100%,SUM(Exploitatieberekening!$O$144:'Exploitatieberekening'!$AA$144)/(SUM(Exploitatieberekening!$O$125:'Exploitatieberekening'!$AA$125)+SUM(Exploitatieberekening!$O$126:'Exploitatieberekening'!$AA$126)),"n.v.t., geen vreemd vermogen")</f>
        <v>#DIV/0!</v>
      </c>
      <c r="F62" s="117"/>
      <c r="H62" s="117"/>
      <c r="I62" s="117"/>
    </row>
    <row r="63" spans="1:9" ht="12" customHeight="1" x14ac:dyDescent="0.25">
      <c r="A63" s="117">
        <v>14</v>
      </c>
      <c r="B63" s="232" t="e">
        <f>IF(Exploitatieberekening!$B$31&lt;100%,SUM(Exploitatieberekening!$O$144:'Exploitatieberekening'!$AB$144)/(SUM(Exploitatieberekening!$O$125:'Exploitatieberekening'!$AB$125)+SUM(Exploitatieberekening!$O$126:'Exploitatieberekening'!$AB$126)),"n.v.t., geen vreemd vermogen")</f>
        <v>#DIV/0!</v>
      </c>
      <c r="F63" s="117"/>
      <c r="H63" s="117"/>
      <c r="I63" s="117"/>
    </row>
    <row r="64" spans="1:9" ht="12" customHeight="1" x14ac:dyDescent="0.25">
      <c r="A64" s="117">
        <v>15</v>
      </c>
      <c r="B64" s="232" t="e">
        <f>IF(Exploitatieberekening!$B$31&lt;100%,SUM(Exploitatieberekening!$O$144:'Exploitatieberekening'!$AC$144)/(SUM(Exploitatieberekening!$O$125:'Exploitatieberekening'!$AC$125)+SUM(Exploitatieberekening!$O$126:'Exploitatieberekening'!$AC$126)),"n.v.t., geen vreemd vermogen")</f>
        <v>#DIV/0!</v>
      </c>
      <c r="F64" s="117"/>
      <c r="H64" s="117"/>
      <c r="I64" s="117"/>
    </row>
    <row r="65" spans="1:18" ht="12" customHeight="1" x14ac:dyDescent="0.25">
      <c r="A65" s="117">
        <v>16</v>
      </c>
      <c r="B65" s="232" t="e">
        <f>IF(Exploitatieberekening!$B$31&lt;100%,SUM(Exploitatieberekening!$O$144:'Exploitatieberekening'!$AD$144)/(SUM(Exploitatieberekening!$O$125:'Exploitatieberekening'!$AD$125)+SUM(Exploitatieberekening!$O$126:'Exploitatieberekening'!$AD$126)),"n.v.t., geen vreemd vermogen")</f>
        <v>#DIV/0!</v>
      </c>
      <c r="F65" s="117"/>
      <c r="H65" s="117"/>
      <c r="I65" s="117"/>
    </row>
    <row r="66" spans="1:18" ht="12" customHeight="1" x14ac:dyDescent="0.25">
      <c r="A66" s="117">
        <v>17</v>
      </c>
      <c r="B66" s="232" t="e">
        <f>IF(Exploitatieberekening!$B$31&lt;100%,SUM(Exploitatieberekening!$O$144:'Exploitatieberekening'!$AE$144)/(SUM(Exploitatieberekening!$O$125:'Exploitatieberekening'!$AE$125)+SUM(Exploitatieberekening!$O$126:'Exploitatieberekening'!$AE$126)),"n.v.t., geen vreemd vermogen")</f>
        <v>#DIV/0!</v>
      </c>
      <c r="F66" s="117"/>
      <c r="H66" s="117"/>
      <c r="I66" s="117"/>
    </row>
    <row r="67" spans="1:18" ht="12" customHeight="1" x14ac:dyDescent="0.25">
      <c r="A67" s="117">
        <v>18</v>
      </c>
      <c r="B67" s="232" t="e">
        <f>IF(Exploitatieberekening!$B$31&lt;100%,SUM(Exploitatieberekening!$O$144:'Exploitatieberekening'!$AF$144)/(SUM(Exploitatieberekening!$O$125:'Exploitatieberekening'!$AF$125)+SUM(Exploitatieberekening!$O$126:'Exploitatieberekening'!$AF$126)),"n.v.t., geen vreemd vermogen")</f>
        <v>#DIV/0!</v>
      </c>
      <c r="F67" s="117"/>
      <c r="H67" s="117"/>
      <c r="I67" s="117"/>
    </row>
    <row r="68" spans="1:18" ht="12" customHeight="1" x14ac:dyDescent="0.25">
      <c r="A68" s="117">
        <v>19</v>
      </c>
      <c r="B68" s="232" t="e">
        <f>IF(Exploitatieberekening!$B$31&lt;100%,SUM(Exploitatieberekening!$O$144:'Exploitatieberekening'!$AG$144)/(SUM(Exploitatieberekening!$O$125:'Exploitatieberekening'!$AG$125)+SUM(Exploitatieberekening!$O$126:'Exploitatieberekening'!$AG$126)),"n.v.t., geen vreemd vermogen")</f>
        <v>#DIV/0!</v>
      </c>
      <c r="F68" s="117"/>
      <c r="H68" s="117"/>
      <c r="I68" s="117"/>
    </row>
    <row r="69" spans="1:18" ht="12" customHeight="1" x14ac:dyDescent="0.25">
      <c r="A69" s="117">
        <v>20</v>
      </c>
      <c r="B69" s="232" t="e">
        <f>IF(Exploitatieberekening!$B$31&lt;100%,SUM(Exploitatieberekening!$O$144:'Exploitatieberekening'!$AH$144)/(SUM(Exploitatieberekening!$O$125:'Exploitatieberekening'!$AH$125)+SUM(Exploitatieberekening!$O$126:'Exploitatieberekening'!$AH$126)),"n.v.t., geen vreemd vermogen")</f>
        <v>#DIV/0!</v>
      </c>
      <c r="F69" s="117"/>
      <c r="H69" s="117"/>
      <c r="I69" s="117"/>
    </row>
    <row r="70" spans="1:18" ht="12" customHeight="1" x14ac:dyDescent="0.25">
      <c r="A70" s="117"/>
      <c r="B70" s="117"/>
      <c r="F70" s="117"/>
      <c r="H70" s="117"/>
      <c r="I70" s="117"/>
    </row>
    <row r="71" spans="1:18" ht="12" customHeight="1" x14ac:dyDescent="0.25">
      <c r="A71" s="117"/>
      <c r="B71" s="117"/>
      <c r="F71" s="117"/>
      <c r="H71" s="117"/>
      <c r="I71" s="117"/>
    </row>
    <row r="72" spans="1:18" ht="21.75" customHeight="1" x14ac:dyDescent="0.25">
      <c r="A72" s="134" t="s">
        <v>412</v>
      </c>
      <c r="B72" s="121"/>
      <c r="C72" s="133"/>
      <c r="D72" s="133"/>
      <c r="E72" s="133"/>
      <c r="F72" s="133"/>
      <c r="G72" s="133"/>
      <c r="H72" s="133"/>
      <c r="I72" s="133"/>
      <c r="J72" s="133"/>
      <c r="K72" s="133"/>
      <c r="L72" s="133"/>
      <c r="M72" s="133"/>
      <c r="N72" s="133"/>
      <c r="O72" s="133"/>
      <c r="P72" s="133"/>
      <c r="Q72" s="133"/>
      <c r="R72" s="133"/>
    </row>
    <row r="73" spans="1:18" ht="21.75" customHeight="1" x14ac:dyDescent="0.25">
      <c r="A73" s="116" t="s">
        <v>496</v>
      </c>
      <c r="B73" s="121"/>
      <c r="C73" s="133"/>
      <c r="D73" s="133"/>
      <c r="E73" s="133"/>
      <c r="F73" s="133"/>
      <c r="G73" s="133"/>
      <c r="H73" s="133"/>
      <c r="I73" s="133"/>
      <c r="J73" s="133"/>
      <c r="K73" s="133"/>
      <c r="L73" s="133"/>
      <c r="M73" s="133"/>
      <c r="N73" s="133"/>
      <c r="O73" s="133"/>
      <c r="P73" s="133"/>
      <c r="Q73" s="133"/>
      <c r="R73" s="133"/>
    </row>
    <row r="74" spans="1:18" ht="43.5" customHeight="1" x14ac:dyDescent="0.25">
      <c r="A74" s="549" t="s">
        <v>693</v>
      </c>
      <c r="B74" s="557"/>
      <c r="C74" s="557"/>
      <c r="D74" s="557"/>
      <c r="E74" s="133"/>
      <c r="F74" s="133"/>
      <c r="G74" s="133"/>
      <c r="H74" s="133"/>
      <c r="I74" s="133"/>
      <c r="J74" s="133"/>
      <c r="K74" s="133"/>
      <c r="L74" s="133"/>
      <c r="M74" s="133"/>
      <c r="N74" s="133"/>
      <c r="O74" s="133"/>
      <c r="P74" s="133"/>
      <c r="Q74" s="133"/>
      <c r="R74" s="133"/>
    </row>
    <row r="75" spans="1:18" ht="12.75" customHeight="1" x14ac:dyDescent="0.25">
      <c r="B75" s="116"/>
      <c r="F75" s="117"/>
      <c r="H75" s="117"/>
      <c r="I75" s="117"/>
    </row>
    <row r="76" spans="1:18" ht="15" customHeight="1" x14ac:dyDescent="0.25">
      <c r="A76" s="116" t="s">
        <v>413</v>
      </c>
      <c r="B76" s="116"/>
      <c r="F76" s="116"/>
      <c r="H76" s="117"/>
      <c r="I76" s="117"/>
    </row>
    <row r="77" spans="1:18" ht="101.25" customHeight="1" x14ac:dyDescent="0.25">
      <c r="A77" s="549" t="s">
        <v>502</v>
      </c>
      <c r="B77" s="549"/>
      <c r="C77" s="552"/>
      <c r="D77" s="552"/>
      <c r="E77" s="135"/>
      <c r="F77" s="549"/>
      <c r="G77" s="550"/>
      <c r="H77" s="550"/>
    </row>
    <row r="78" spans="1:18" ht="15" customHeight="1" x14ac:dyDescent="0.25">
      <c r="A78" s="116" t="s">
        <v>414</v>
      </c>
      <c r="B78" s="125"/>
      <c r="C78" s="132"/>
      <c r="D78" s="132"/>
      <c r="E78" s="135"/>
      <c r="F78" s="549"/>
      <c r="G78" s="550"/>
      <c r="H78" s="550"/>
    </row>
    <row r="79" spans="1:18" ht="75" customHeight="1" x14ac:dyDescent="0.25">
      <c r="A79" s="551" t="s">
        <v>415</v>
      </c>
      <c r="B79" s="552"/>
      <c r="C79" s="552"/>
      <c r="D79" s="552"/>
      <c r="F79" s="549"/>
      <c r="G79" s="550"/>
      <c r="H79" s="550"/>
    </row>
    <row r="80" spans="1:18" ht="15" customHeight="1" x14ac:dyDescent="0.25">
      <c r="A80" s="136" t="s">
        <v>938</v>
      </c>
      <c r="B80" s="132"/>
      <c r="C80" s="132"/>
      <c r="D80" s="132"/>
      <c r="F80" s="125"/>
      <c r="G80" s="137"/>
      <c r="H80" s="137"/>
    </row>
    <row r="81" spans="1:8" ht="75" customHeight="1" x14ac:dyDescent="0.25">
      <c r="A81" s="551" t="s">
        <v>416</v>
      </c>
      <c r="B81" s="552"/>
      <c r="C81" s="552"/>
      <c r="D81" s="552"/>
      <c r="F81" s="125"/>
      <c r="G81" s="137"/>
      <c r="H81" s="137"/>
    </row>
    <row r="82" spans="1:8" ht="15" customHeight="1" x14ac:dyDescent="0.25">
      <c r="A82" s="136" t="s">
        <v>939</v>
      </c>
      <c r="B82" s="132"/>
      <c r="C82" s="132"/>
      <c r="D82" s="132"/>
      <c r="F82" s="125"/>
      <c r="G82" s="137"/>
      <c r="H82" s="137"/>
    </row>
    <row r="83" spans="1:8" ht="75" customHeight="1" x14ac:dyDescent="0.25">
      <c r="A83" s="551" t="s">
        <v>942</v>
      </c>
      <c r="B83" s="552"/>
      <c r="C83" s="552"/>
      <c r="D83" s="552"/>
      <c r="F83" s="125"/>
      <c r="G83" s="137"/>
      <c r="H83" s="137"/>
    </row>
    <row r="84" spans="1:8" ht="15" customHeight="1" x14ac:dyDescent="0.25">
      <c r="A84" s="136" t="s">
        <v>943</v>
      </c>
      <c r="B84" s="132"/>
      <c r="C84" s="132"/>
      <c r="D84" s="132"/>
      <c r="F84" s="125"/>
      <c r="G84" s="137"/>
      <c r="H84" s="137"/>
    </row>
    <row r="85" spans="1:8" ht="117" customHeight="1" x14ac:dyDescent="0.25">
      <c r="A85" s="551" t="s">
        <v>944</v>
      </c>
      <c r="B85" s="552"/>
      <c r="C85" s="552"/>
      <c r="D85" s="552"/>
      <c r="F85" s="125"/>
      <c r="G85" s="137"/>
      <c r="H85" s="137"/>
    </row>
    <row r="86" spans="1:8" ht="15" customHeight="1" x14ac:dyDescent="0.25">
      <c r="A86" s="136" t="s">
        <v>417</v>
      </c>
      <c r="B86" s="132"/>
      <c r="C86" s="132"/>
      <c r="D86" s="132"/>
      <c r="F86" s="125"/>
      <c r="G86" s="137"/>
      <c r="H86" s="137"/>
    </row>
    <row r="87" spans="1:8" ht="75" customHeight="1" x14ac:dyDescent="0.25">
      <c r="A87" s="551" t="s">
        <v>418</v>
      </c>
      <c r="B87" s="552"/>
      <c r="C87" s="552"/>
      <c r="D87" s="552"/>
      <c r="F87" s="125"/>
      <c r="G87" s="137"/>
      <c r="H87" s="137"/>
    </row>
    <row r="88" spans="1:8" ht="15" customHeight="1" x14ac:dyDescent="0.25">
      <c r="A88" s="116" t="s">
        <v>419</v>
      </c>
      <c r="B88" s="116"/>
      <c r="E88" s="137"/>
      <c r="F88" s="137"/>
    </row>
    <row r="89" spans="1:8" ht="60.75" customHeight="1" x14ac:dyDescent="0.25">
      <c r="A89" s="549" t="s">
        <v>420</v>
      </c>
      <c r="B89" s="549"/>
      <c r="C89" s="552"/>
      <c r="D89" s="552"/>
      <c r="E89" s="137"/>
      <c r="F89" s="137"/>
    </row>
    <row r="90" spans="1:8" ht="15" customHeight="1" x14ac:dyDescent="0.25">
      <c r="A90" s="116" t="s">
        <v>421</v>
      </c>
      <c r="B90" s="125"/>
      <c r="C90" s="132"/>
      <c r="D90" s="132"/>
      <c r="E90" s="137"/>
      <c r="F90" s="137"/>
    </row>
    <row r="91" spans="1:8" ht="60.75" customHeight="1" x14ac:dyDescent="0.25">
      <c r="A91" s="549" t="s">
        <v>422</v>
      </c>
      <c r="B91" s="549"/>
      <c r="C91" s="549"/>
      <c r="D91" s="549"/>
      <c r="E91" s="137"/>
      <c r="F91" s="138" t="s">
        <v>423</v>
      </c>
    </row>
    <row r="92" spans="1:8" ht="15" customHeight="1" x14ac:dyDescent="0.25">
      <c r="A92" s="116" t="s">
        <v>424</v>
      </c>
      <c r="B92" s="116"/>
      <c r="C92" s="132"/>
      <c r="D92" s="132"/>
      <c r="E92" s="137"/>
      <c r="F92" s="137"/>
    </row>
    <row r="93" spans="1:8" ht="39.950000000000003" customHeight="1" x14ac:dyDescent="0.25">
      <c r="A93" s="549" t="s">
        <v>425</v>
      </c>
      <c r="B93" s="549"/>
      <c r="C93" s="549"/>
      <c r="D93" s="549"/>
      <c r="E93" s="137"/>
      <c r="F93" s="137"/>
    </row>
    <row r="94" spans="1:8" ht="15" customHeight="1" x14ac:dyDescent="0.25">
      <c r="A94" s="116" t="s">
        <v>426</v>
      </c>
      <c r="B94" s="116"/>
      <c r="C94" s="132"/>
      <c r="D94" s="132"/>
      <c r="E94" s="137"/>
      <c r="F94" s="137"/>
    </row>
    <row r="95" spans="1:8" ht="102.75" customHeight="1" x14ac:dyDescent="0.25">
      <c r="A95" s="549" t="s">
        <v>929</v>
      </c>
      <c r="B95" s="549"/>
      <c r="C95" s="552"/>
      <c r="D95" s="552"/>
      <c r="E95" s="137"/>
      <c r="F95" s="137"/>
    </row>
    <row r="96" spans="1:8" ht="15" customHeight="1" x14ac:dyDescent="0.25">
      <c r="A96" s="131" t="s">
        <v>427</v>
      </c>
      <c r="B96" s="125"/>
      <c r="C96" s="132"/>
      <c r="D96" s="132"/>
      <c r="E96" s="137"/>
      <c r="F96" s="137"/>
    </row>
    <row r="97" spans="1:6" ht="45" customHeight="1" x14ac:dyDescent="0.25">
      <c r="A97" s="549" t="s">
        <v>428</v>
      </c>
      <c r="B97" s="549"/>
      <c r="C97" s="552"/>
      <c r="D97" s="552"/>
      <c r="E97" s="137"/>
      <c r="F97" s="137"/>
    </row>
    <row r="98" spans="1:6" ht="15" customHeight="1" x14ac:dyDescent="0.25">
      <c r="A98" s="116" t="s">
        <v>429</v>
      </c>
      <c r="B98" s="116"/>
      <c r="C98" s="132"/>
      <c r="D98" s="132"/>
      <c r="E98" s="137"/>
      <c r="F98" s="137"/>
    </row>
    <row r="99" spans="1:6" ht="125.25" customHeight="1" x14ac:dyDescent="0.25">
      <c r="A99" s="553" t="s">
        <v>930</v>
      </c>
      <c r="B99" s="553"/>
      <c r="C99" s="556"/>
      <c r="D99" s="556"/>
      <c r="E99" s="137"/>
      <c r="F99" s="137"/>
    </row>
    <row r="100" spans="1:6" ht="15" customHeight="1" x14ac:dyDescent="0.25">
      <c r="A100" s="116" t="s">
        <v>889</v>
      </c>
      <c r="B100" s="125"/>
      <c r="C100" s="354"/>
      <c r="D100" s="354"/>
      <c r="E100" s="137"/>
      <c r="F100" s="137"/>
    </row>
    <row r="101" spans="1:6" ht="172.5" customHeight="1" x14ac:dyDescent="0.25">
      <c r="A101" s="553" t="s">
        <v>928</v>
      </c>
      <c r="B101" s="554"/>
      <c r="C101" s="554"/>
      <c r="D101" s="554"/>
      <c r="E101" s="137"/>
      <c r="F101" s="137"/>
    </row>
    <row r="102" spans="1:6" ht="15" customHeight="1" x14ac:dyDescent="0.25">
      <c r="A102" s="116" t="s">
        <v>430</v>
      </c>
      <c r="B102" s="125"/>
      <c r="C102" s="132"/>
      <c r="D102" s="132"/>
      <c r="E102" s="137"/>
      <c r="F102" s="137"/>
    </row>
    <row r="103" spans="1:6" ht="54.75" customHeight="1" x14ac:dyDescent="0.25">
      <c r="A103" s="549" t="s">
        <v>925</v>
      </c>
      <c r="B103" s="549"/>
      <c r="C103" s="555"/>
      <c r="D103" s="555"/>
      <c r="E103" s="137"/>
      <c r="F103" s="137"/>
    </row>
    <row r="104" spans="1:6" ht="15" customHeight="1" x14ac:dyDescent="0.25">
      <c r="A104" s="116" t="s">
        <v>431</v>
      </c>
      <c r="B104" s="116"/>
      <c r="C104" s="132"/>
      <c r="D104" s="132"/>
      <c r="E104" s="137"/>
      <c r="F104" s="137"/>
    </row>
    <row r="105" spans="1:6" ht="50.25" customHeight="1" x14ac:dyDescent="0.25">
      <c r="A105" s="549" t="s">
        <v>926</v>
      </c>
      <c r="B105" s="549"/>
      <c r="C105" s="555"/>
      <c r="D105" s="555"/>
      <c r="E105" s="137"/>
      <c r="F105" s="137"/>
    </row>
    <row r="106" spans="1:6" ht="15" customHeight="1" x14ac:dyDescent="0.25">
      <c r="A106" s="116" t="s">
        <v>891</v>
      </c>
      <c r="B106" s="125"/>
      <c r="C106" s="354"/>
      <c r="D106" s="354"/>
      <c r="E106" s="137"/>
      <c r="F106" s="137"/>
    </row>
    <row r="107" spans="1:6" ht="183.75" customHeight="1" x14ac:dyDescent="0.25">
      <c r="A107" s="553" t="s">
        <v>927</v>
      </c>
      <c r="B107" s="554"/>
      <c r="C107" s="554"/>
      <c r="D107" s="554"/>
      <c r="E107" s="137"/>
      <c r="F107" s="137"/>
    </row>
    <row r="108" spans="1:6" ht="15" customHeight="1" x14ac:dyDescent="0.25">
      <c r="A108" s="139" t="s">
        <v>432</v>
      </c>
      <c r="B108" s="125"/>
      <c r="C108" s="125"/>
      <c r="D108" s="125"/>
      <c r="E108" s="137"/>
      <c r="F108" s="137"/>
    </row>
    <row r="109" spans="1:6" ht="49.5" customHeight="1" x14ac:dyDescent="0.25">
      <c r="A109" s="549" t="s">
        <v>501</v>
      </c>
      <c r="B109" s="549"/>
      <c r="C109" s="549"/>
      <c r="D109" s="549"/>
      <c r="E109" s="137"/>
      <c r="F109" s="137"/>
    </row>
    <row r="110" spans="1:6" ht="15" customHeight="1" x14ac:dyDescent="0.25">
      <c r="A110" s="116" t="s">
        <v>890</v>
      </c>
      <c r="B110" s="125"/>
      <c r="C110" s="125"/>
      <c r="D110" s="125"/>
      <c r="E110" s="137"/>
      <c r="F110" s="137"/>
    </row>
    <row r="111" spans="1:6" ht="181.5" customHeight="1" x14ac:dyDescent="0.25">
      <c r="A111" s="553" t="s">
        <v>913</v>
      </c>
      <c r="B111" s="554"/>
      <c r="C111" s="554"/>
      <c r="D111" s="554"/>
      <c r="E111" s="137"/>
      <c r="F111" s="137"/>
    </row>
    <row r="112" spans="1:6" ht="15" customHeight="1" x14ac:dyDescent="0.25">
      <c r="A112" s="116" t="s">
        <v>433</v>
      </c>
      <c r="B112" s="116"/>
      <c r="C112" s="132"/>
      <c r="D112" s="132"/>
      <c r="E112" s="137"/>
      <c r="F112" s="137"/>
    </row>
    <row r="113" spans="1:6" ht="65.25" customHeight="1" x14ac:dyDescent="0.25">
      <c r="A113" s="549" t="s">
        <v>500</v>
      </c>
      <c r="B113" s="549"/>
      <c r="C113" s="555"/>
      <c r="D113" s="555"/>
      <c r="E113" s="137"/>
      <c r="F113" s="137"/>
    </row>
    <row r="114" spans="1:6" ht="15" customHeight="1" x14ac:dyDescent="0.25">
      <c r="A114" s="116" t="s">
        <v>434</v>
      </c>
      <c r="B114" s="125"/>
      <c r="C114" s="125"/>
      <c r="D114" s="125"/>
      <c r="E114" s="137"/>
      <c r="F114" s="137"/>
    </row>
    <row r="115" spans="1:6" ht="55.5" customHeight="1" x14ac:dyDescent="0.25">
      <c r="A115" s="549" t="s">
        <v>497</v>
      </c>
      <c r="B115" s="549"/>
      <c r="C115" s="549"/>
      <c r="D115" s="549"/>
      <c r="E115" s="137"/>
      <c r="F115" s="137"/>
    </row>
    <row r="116" spans="1:6" ht="15" customHeight="1" x14ac:dyDescent="0.25">
      <c r="A116" s="131" t="s">
        <v>435</v>
      </c>
      <c r="B116" s="125"/>
      <c r="C116" s="125"/>
      <c r="D116" s="125"/>
      <c r="E116" s="137"/>
      <c r="F116" s="137"/>
    </row>
    <row r="117" spans="1:6" ht="78.75" customHeight="1" x14ac:dyDescent="0.25">
      <c r="A117" s="549" t="s">
        <v>499</v>
      </c>
      <c r="B117" s="552"/>
      <c r="C117" s="552"/>
      <c r="D117" s="552"/>
      <c r="E117" s="137"/>
      <c r="F117" s="137"/>
    </row>
    <row r="118" spans="1:6" ht="15" customHeight="1" x14ac:dyDescent="0.25">
      <c r="A118" s="131" t="s">
        <v>892</v>
      </c>
      <c r="B118" s="132"/>
      <c r="C118" s="132"/>
      <c r="D118" s="132"/>
      <c r="E118" s="137"/>
      <c r="F118" s="137"/>
    </row>
    <row r="119" spans="1:6" ht="78.75" customHeight="1" x14ac:dyDescent="0.25">
      <c r="A119" s="553" t="s">
        <v>906</v>
      </c>
      <c r="B119" s="554"/>
      <c r="C119" s="554"/>
      <c r="D119" s="554"/>
      <c r="E119" s="137"/>
      <c r="F119" s="137"/>
    </row>
    <row r="120" spans="1:6" ht="15" customHeight="1" x14ac:dyDescent="0.25">
      <c r="A120" s="131" t="s">
        <v>893</v>
      </c>
      <c r="B120" s="132"/>
      <c r="C120" s="132"/>
      <c r="D120" s="132"/>
      <c r="E120" s="137"/>
      <c r="F120" s="137"/>
    </row>
    <row r="121" spans="1:6" ht="78.75" customHeight="1" x14ac:dyDescent="0.25">
      <c r="A121" s="553" t="s">
        <v>918</v>
      </c>
      <c r="B121" s="554"/>
      <c r="C121" s="554"/>
      <c r="D121" s="554"/>
      <c r="E121" s="137"/>
      <c r="F121" s="137"/>
    </row>
    <row r="122" spans="1:6" ht="15" customHeight="1" x14ac:dyDescent="0.25">
      <c r="A122" s="116" t="s">
        <v>908</v>
      </c>
      <c r="B122" s="125"/>
      <c r="C122" s="125"/>
      <c r="D122" s="125"/>
      <c r="E122" s="137"/>
      <c r="F122" s="137"/>
    </row>
    <row r="123" spans="1:6" ht="58.5" customHeight="1" x14ac:dyDescent="0.25">
      <c r="A123" s="553" t="s">
        <v>912</v>
      </c>
      <c r="B123" s="553"/>
      <c r="C123" s="553"/>
      <c r="D123" s="553"/>
      <c r="E123" s="137"/>
      <c r="F123" s="137"/>
    </row>
    <row r="124" spans="1:6" ht="15" customHeight="1" x14ac:dyDescent="0.25">
      <c r="A124" s="116" t="s">
        <v>909</v>
      </c>
      <c r="B124" s="125"/>
      <c r="C124" s="125"/>
      <c r="D124" s="125"/>
      <c r="E124" s="137"/>
      <c r="F124" s="137"/>
    </row>
    <row r="125" spans="1:6" ht="39.950000000000003" customHeight="1" x14ac:dyDescent="0.25">
      <c r="A125" s="549" t="s">
        <v>907</v>
      </c>
      <c r="B125" s="549"/>
      <c r="C125" s="549"/>
      <c r="D125" s="549"/>
      <c r="E125" s="137"/>
      <c r="F125" s="137"/>
    </row>
    <row r="126" spans="1:6" ht="15" customHeight="1" x14ac:dyDescent="0.25">
      <c r="A126" s="116" t="s">
        <v>436</v>
      </c>
      <c r="B126" s="125"/>
      <c r="C126" s="125"/>
      <c r="D126" s="125"/>
      <c r="E126" s="137"/>
      <c r="F126" s="137"/>
    </row>
    <row r="127" spans="1:6" ht="101.25" customHeight="1" x14ac:dyDescent="0.25">
      <c r="A127" s="549" t="s">
        <v>437</v>
      </c>
      <c r="B127" s="549"/>
      <c r="C127" s="549"/>
      <c r="D127" s="549"/>
      <c r="E127" s="137"/>
      <c r="F127" s="137"/>
    </row>
    <row r="128" spans="1:6" ht="15" customHeight="1" x14ac:dyDescent="0.25">
      <c r="A128" s="116" t="s">
        <v>438</v>
      </c>
      <c r="B128" s="125"/>
      <c r="C128" s="125"/>
      <c r="D128" s="125"/>
      <c r="E128" s="137"/>
      <c r="F128" s="137"/>
    </row>
    <row r="129" spans="1:6" ht="90.75" customHeight="1" x14ac:dyDescent="0.25">
      <c r="A129" s="549" t="s">
        <v>696</v>
      </c>
      <c r="B129" s="549"/>
      <c r="C129" s="549"/>
      <c r="D129" s="549"/>
      <c r="E129" s="137"/>
      <c r="F129" s="137"/>
    </row>
    <row r="130" spans="1:6" ht="15" customHeight="1" x14ac:dyDescent="0.25">
      <c r="A130" s="116" t="s">
        <v>439</v>
      </c>
      <c r="B130" s="125"/>
      <c r="C130" s="125"/>
      <c r="D130" s="125"/>
      <c r="E130" s="137"/>
      <c r="F130" s="137"/>
    </row>
    <row r="131" spans="1:6" ht="55.5" customHeight="1" x14ac:dyDescent="0.25">
      <c r="A131" s="549" t="s">
        <v>440</v>
      </c>
      <c r="B131" s="549"/>
      <c r="C131" s="549"/>
      <c r="D131" s="549"/>
      <c r="E131" s="137"/>
      <c r="F131" s="137"/>
    </row>
    <row r="132" spans="1:6" ht="15" customHeight="1" x14ac:dyDescent="0.25">
      <c r="A132" s="116" t="s">
        <v>441</v>
      </c>
      <c r="B132" s="132"/>
      <c r="C132" s="132"/>
      <c r="D132" s="132"/>
      <c r="E132" s="137"/>
      <c r="F132" s="137"/>
    </row>
    <row r="133" spans="1:6" ht="39.950000000000003" customHeight="1" x14ac:dyDescent="0.25">
      <c r="A133" s="549" t="s">
        <v>442</v>
      </c>
      <c r="B133" s="549"/>
      <c r="C133" s="549"/>
      <c r="D133" s="549"/>
      <c r="E133" s="137"/>
      <c r="F133" s="137"/>
    </row>
    <row r="134" spans="1:6" ht="15" customHeight="1" x14ac:dyDescent="0.25">
      <c r="A134" s="116" t="s">
        <v>443</v>
      </c>
      <c r="B134" s="132"/>
      <c r="C134" s="132"/>
      <c r="D134" s="132"/>
      <c r="E134" s="137"/>
      <c r="F134" s="137"/>
    </row>
    <row r="135" spans="1:6" ht="39.950000000000003" customHeight="1" x14ac:dyDescent="0.25">
      <c r="A135" s="549" t="s">
        <v>444</v>
      </c>
      <c r="B135" s="549"/>
      <c r="C135" s="549"/>
      <c r="D135" s="549"/>
      <c r="E135" s="137"/>
      <c r="F135" s="137"/>
    </row>
    <row r="136" spans="1:6" ht="15" customHeight="1" x14ac:dyDescent="0.25">
      <c r="A136" s="131" t="s">
        <v>897</v>
      </c>
      <c r="B136" s="125"/>
      <c r="C136" s="125"/>
      <c r="D136" s="125"/>
      <c r="E136" s="137"/>
      <c r="F136" s="137"/>
    </row>
    <row r="137" spans="1:6" ht="174.75" customHeight="1" x14ac:dyDescent="0.25">
      <c r="A137" s="553" t="s">
        <v>914</v>
      </c>
      <c r="B137" s="554"/>
      <c r="C137" s="554"/>
      <c r="D137" s="554"/>
      <c r="E137" s="137"/>
      <c r="F137" s="137"/>
    </row>
    <row r="138" spans="1:6" ht="15" customHeight="1" x14ac:dyDescent="0.25">
      <c r="A138" s="139" t="s">
        <v>445</v>
      </c>
      <c r="B138" s="132"/>
      <c r="C138" s="132"/>
      <c r="D138" s="132"/>
      <c r="E138" s="137"/>
      <c r="F138" s="137"/>
    </row>
    <row r="139" spans="1:6" ht="56.25" customHeight="1" x14ac:dyDescent="0.25">
      <c r="A139" s="549" t="s">
        <v>446</v>
      </c>
      <c r="B139" s="549"/>
      <c r="C139" s="549"/>
      <c r="D139" s="549"/>
      <c r="E139" s="137"/>
      <c r="F139" s="137"/>
    </row>
    <row r="140" spans="1:6" ht="24.75" customHeight="1" x14ac:dyDescent="0.25">
      <c r="A140" s="139" t="s">
        <v>447</v>
      </c>
      <c r="B140" s="132"/>
      <c r="C140" s="132"/>
      <c r="D140" s="132"/>
      <c r="E140" s="137"/>
      <c r="F140" s="137"/>
    </row>
    <row r="141" spans="1:6" ht="52.5" customHeight="1" x14ac:dyDescent="0.25">
      <c r="A141" s="549" t="s">
        <v>448</v>
      </c>
      <c r="B141" s="549"/>
      <c r="C141" s="549"/>
      <c r="D141" s="549"/>
      <c r="E141" s="137"/>
      <c r="F141" s="137"/>
    </row>
    <row r="142" spans="1:6" ht="15" customHeight="1" x14ac:dyDescent="0.25">
      <c r="A142" s="116" t="s">
        <v>449</v>
      </c>
      <c r="B142" s="125"/>
      <c r="C142" s="125"/>
      <c r="D142" s="125"/>
      <c r="E142" s="137"/>
      <c r="F142" s="137"/>
    </row>
    <row r="143" spans="1:6" ht="39.950000000000003" customHeight="1" x14ac:dyDescent="0.25">
      <c r="A143" s="549" t="s">
        <v>694</v>
      </c>
      <c r="B143" s="549"/>
      <c r="C143" s="549"/>
      <c r="D143" s="549"/>
      <c r="E143" s="137"/>
      <c r="F143" s="137"/>
    </row>
    <row r="144" spans="1:6" ht="15" customHeight="1" x14ac:dyDescent="0.25">
      <c r="A144" s="116" t="s">
        <v>899</v>
      </c>
      <c r="B144" s="125"/>
      <c r="C144" s="125"/>
      <c r="D144" s="125"/>
      <c r="E144" s="137"/>
      <c r="F144" s="137"/>
    </row>
    <row r="145" spans="1:6" ht="124.5" customHeight="1" x14ac:dyDescent="0.25">
      <c r="A145" s="553" t="s">
        <v>915</v>
      </c>
      <c r="B145" s="554"/>
      <c r="C145" s="554"/>
      <c r="D145" s="554"/>
      <c r="E145" s="137"/>
      <c r="F145" s="137"/>
    </row>
    <row r="146" spans="1:6" ht="15" customHeight="1" x14ac:dyDescent="0.25">
      <c r="A146" s="116" t="s">
        <v>450</v>
      </c>
      <c r="B146" s="125"/>
      <c r="C146" s="125"/>
      <c r="D146" s="125"/>
      <c r="E146" s="137"/>
      <c r="F146" s="137"/>
    </row>
    <row r="147" spans="1:6" ht="89.25" customHeight="1" x14ac:dyDescent="0.25">
      <c r="A147" s="549" t="s">
        <v>958</v>
      </c>
      <c r="B147" s="549"/>
      <c r="C147" s="549"/>
      <c r="D147" s="549"/>
      <c r="E147" s="137"/>
      <c r="F147" s="137"/>
    </row>
    <row r="148" spans="1:6" ht="15" customHeight="1" x14ac:dyDescent="0.25">
      <c r="A148" s="116" t="s">
        <v>451</v>
      </c>
      <c r="B148" s="125"/>
      <c r="C148" s="125"/>
      <c r="D148" s="125"/>
      <c r="E148" s="137"/>
      <c r="F148" s="137"/>
    </row>
    <row r="149" spans="1:6" ht="83.25" customHeight="1" x14ac:dyDescent="0.25">
      <c r="A149" s="549" t="s">
        <v>959</v>
      </c>
      <c r="B149" s="549"/>
      <c r="C149" s="549"/>
      <c r="D149" s="549"/>
      <c r="E149" s="137"/>
      <c r="F149" s="137"/>
    </row>
    <row r="150" spans="1:6" ht="15" customHeight="1" x14ac:dyDescent="0.25">
      <c r="A150" s="116" t="s">
        <v>452</v>
      </c>
      <c r="B150" s="116"/>
    </row>
    <row r="151" spans="1:6" ht="59.25" customHeight="1" x14ac:dyDescent="0.25">
      <c r="A151" s="549" t="s">
        <v>453</v>
      </c>
      <c r="B151" s="549"/>
      <c r="C151" s="552"/>
      <c r="D151" s="552"/>
    </row>
    <row r="152" spans="1:6" ht="15" customHeight="1" x14ac:dyDescent="0.25">
      <c r="A152" s="116" t="s">
        <v>454</v>
      </c>
      <c r="B152" s="116"/>
    </row>
    <row r="153" spans="1:6" s="137" customFormat="1" ht="39" customHeight="1" x14ac:dyDescent="0.25">
      <c r="A153" s="549" t="s">
        <v>455</v>
      </c>
      <c r="B153" s="549"/>
      <c r="C153" s="552"/>
      <c r="D153" s="552"/>
    </row>
    <row r="154" spans="1:6" s="137" customFormat="1" ht="15" customHeight="1" x14ac:dyDescent="0.25">
      <c r="A154" s="116" t="s">
        <v>456</v>
      </c>
      <c r="B154" s="125"/>
      <c r="C154" s="132"/>
      <c r="D154" s="132"/>
    </row>
    <row r="155" spans="1:6" s="137" customFormat="1" ht="39.75" customHeight="1" x14ac:dyDescent="0.25">
      <c r="A155" s="549" t="s">
        <v>457</v>
      </c>
      <c r="B155" s="549"/>
      <c r="C155" s="552"/>
      <c r="D155" s="552"/>
    </row>
    <row r="156" spans="1:6" s="137" customFormat="1" ht="15" customHeight="1" x14ac:dyDescent="0.25">
      <c r="A156" s="116" t="s">
        <v>458</v>
      </c>
      <c r="B156" s="125"/>
      <c r="C156" s="132"/>
      <c r="D156" s="132"/>
    </row>
    <row r="157" spans="1:6" s="137" customFormat="1" ht="39.75" customHeight="1" x14ac:dyDescent="0.25">
      <c r="A157" s="549" t="s">
        <v>459</v>
      </c>
      <c r="B157" s="552"/>
      <c r="C157" s="552"/>
      <c r="D157" s="552"/>
    </row>
    <row r="158" spans="1:6" s="137" customFormat="1" ht="12.75" customHeight="1" x14ac:dyDescent="0.25"/>
    <row r="159" spans="1:6" s="137" customFormat="1" ht="16.5" customHeight="1" x14ac:dyDescent="0.25">
      <c r="A159" s="140" t="s">
        <v>460</v>
      </c>
    </row>
    <row r="160" spans="1:6" s="137" customFormat="1" ht="15" customHeight="1" x14ac:dyDescent="0.25">
      <c r="A160" s="117" t="s">
        <v>217</v>
      </c>
      <c r="B160" s="125" t="str">
        <f>A77</f>
        <v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Indien u gebruik maakt van houtige biomassa gelden minimum temperatuureisen voor toepassing van de warmte. Geeft u in dat geval een onderbouwing dat de geproduceerde warmte wordt toegepast in een verwarmingssysteem met een aanvoertemperatuur aan de gebruikerszijde van ten minste 100 °C in het stookseizoen of in een stoomsysteem (met gebruikerszijde wordt de eerste gebruiker van de warmte bedoeld).
</v>
      </c>
    </row>
    <row r="161" spans="1:2" s="137" customFormat="1" ht="15" customHeight="1" x14ac:dyDescent="0.25">
      <c r="A161" s="117" t="s">
        <v>204</v>
      </c>
      <c r="B161" s="125" t="str">
        <f>A79</f>
        <v>U onderbouwt de aangevraagde energieproductie uit de verbeterde slibgisting bij RWZI's. Bij de aanvraag maakt u aannemelijk dat de bestaande biogasproductie per ton slib  met minimaal 25% kan worden verhoogd ten opzichte van voor de verbetering. De verbetering betreft 25% ten opzichte van de gemiddelde productie van het jaar voorafgaande aan de aanvraag, of, wanneer de producent minder dan een jaar produceert, ten opzichte van de totale gemiddelde productie tot het moment van de aanvraag. U geeft in een projectbeschrijving aan wat er verandert ten opzichte van de bestaande situatie en voegt hierbij een massa-energiebalans en een processchema toe van de bestaande en de nieuwe situatie. De installatiedelen die verantwoordelijk zijn voor de meerproductie van biogas moeten nieuw zijn. Geef in uw projectbeschrijving aan welke dit zijn.</v>
      </c>
    </row>
    <row r="162" spans="1:2" s="137" customFormat="1" ht="15" customHeight="1" x14ac:dyDescent="0.25">
      <c r="A162" s="117" t="s">
        <v>941</v>
      </c>
      <c r="B162" s="125" t="str">
        <f>A81</f>
        <v>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Daarnaast stelt u een renovatieplan op waaruit blijkt dat de productie-installatie geschikt wordt gemaakt om 12 jaar door te kunnen produceren.</v>
      </c>
    </row>
    <row r="163" spans="1:2" s="137" customFormat="1" ht="15" customHeight="1" x14ac:dyDescent="0.25">
      <c r="A163" s="117" t="s">
        <v>940</v>
      </c>
      <c r="B163" s="125" t="str">
        <f>A83</f>
        <v>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Daarnaast geeft u aan in welke extra faciliteit (ombouw) u gaat investeren.</v>
      </c>
    </row>
    <row r="164" spans="1:2" s="137" customFormat="1" ht="15" customHeight="1" x14ac:dyDescent="0.25">
      <c r="A164" s="117" t="s">
        <v>945</v>
      </c>
      <c r="B164" s="125" t="str">
        <f>A85</f>
        <v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Indien u gebruik maakt van houtige biomassa gelden minimum temperatuureisen voor toepassing van de warmte. Geeft u in dat geval een onderbouwing dat de geproduceerde warmte wordt toegepast in een verwarmingssysteem met een aanvoertemperatuur aan de gebruikerszijde van ten minste 100 °C in het stookseizoen of in een stoomsysteem (met gebruikerszijde wordt de eerste gebruiker van de warmte bedoeld).
Daarnaast stelt u een renovatieplan op waaruit blijkt dat de productie-installatie geschikt wordt gemaakt om 12 jaar door te kunnen produceren.
</v>
      </c>
    </row>
    <row r="165" spans="1:2" s="137" customFormat="1" ht="15" customHeight="1" x14ac:dyDescent="0.25">
      <c r="A165" s="117" t="s">
        <v>199</v>
      </c>
      <c r="B165" s="125" t="str">
        <f>A87</f>
        <v xml:space="preserve">U onderbouwt de aangevraagde energieproductie uit biomassa. Dit doet u onder andere door het opstellen van een massa-energiebalans. Deze bevat de hoeveelheden van de beoogde soorten biomassa en de calorische waarden hiervan. Ook geeft u een specificatie van het energetisch rendement van de productie-installatie. Dit kunt u doen door bijvoorbeeld de specificatie-sheets van de installatie mee te sturen.
Bij complexere installaties stuurt u een processchema van de installatie mee. </v>
      </c>
    </row>
    <row r="166" spans="1:2" s="137" customFormat="1" ht="15" customHeight="1" x14ac:dyDescent="0.25">
      <c r="A166" s="117" t="s">
        <v>231</v>
      </c>
      <c r="B166" s="125" t="str">
        <f>A91</f>
        <v>Als u subsidie aanvraagt in de categorie geothermie moet u ter onderbouwing van de energieopbrengst een geologisch onderzoek overleggen. Aan dit onderzoek worden nadere eisen gesteld. Het geologisch rapport dient te voldoen aan de eisen van het ‘Model Geologisch Onderzoek SDE+’, het ‘Model Geologisch Onderzoek van de Subsidieregeling Energie en Innovatie Risico’s dekken voor aardwarmte (SEI)’, of het ‘Model Geologisch Onderzoek van de Regeling nationale EZ-subsidies Risico’s dekken voor Aardwarmte (RNES)’. Daarnaast stuurt u een processchema van de gehele productie-installatie mee, met daarin aangegeven de geothermische bron, de warmtepomp en temperaturen en debieten. Ook geeft u een specificatie van het energetisch rendement van de warmtepomp (COP) bij ontwerpcondities.</v>
      </c>
    </row>
    <row r="167" spans="1:2" s="137" customFormat="1" ht="15" customHeight="1" x14ac:dyDescent="0.25">
      <c r="A167" s="117" t="s">
        <v>238</v>
      </c>
      <c r="B167" s="125" t="str">
        <f>A89</f>
        <v>Als u subsidie aanvraagt in de categorie geothermie moet u ter onderbouwing van de energieopbrengst een geologisch onderzoek overleggen. Aan dit onderzoek worden nadere eisen gesteld. Het geologisch rapport dient te voldoen aan de eisen van het ‘Model Geologisch Onderzoek SDE+’, het ‘Model Geologisch Onderzoek van de Subsidieregeling Energie en Innovatie Risico’s dekken voor aardwarmte (SEI)’, of het ‘Model Geologisch Onderzoek van de Regeling nationale EZ-subsidies Risico’s dekken voor Aardwarmte (RNES)’.</v>
      </c>
    </row>
    <row r="168" spans="1:2" s="137" customFormat="1" ht="15" customHeight="1" x14ac:dyDescent="0.25">
      <c r="A168" s="117" t="s">
        <v>252</v>
      </c>
      <c r="B168" s="125" t="str">
        <f>A93</f>
        <v>Als u subsidie aanvraagt in de categorie waterkracht of osmose moet u ter onderbouwing van de jaarlijks te verwachten energieproductie een waterenergie-opbrengstberekening meesturen.</v>
      </c>
    </row>
    <row r="169" spans="1:2" ht="15" customHeight="1" x14ac:dyDescent="0.25">
      <c r="A169" s="117" t="s">
        <v>910</v>
      </c>
      <c r="B169" s="125" t="str">
        <f>A123</f>
        <v xml:space="preserve">U onderbouwt de aangevraagde energieproductie uit warmteontrekking aan drinkwater, afvalwater, zeewater of oppervlaktewater. Dit doet u onder andere door het opstellen van een massa-energiebalans. Deze bevat temperaturen en debieten. Dit kunt u doen door bijvoorbeeld de specificatie-sheets van de installatie mee te sturen. Bij complexere installaties stuurt u een processchema van de installatie mee. Ook geeft u een specificatie van het energetisch rendement van de warmtepomp (COP) bij ontwerpcondities. De productie-installatie mag niet gebruikt worden voor koudelevering. Tevens toont u aan dat er sprake is van een nieuw warmteoverdrachtsstation. </v>
      </c>
    </row>
    <row r="170" spans="1:2" ht="15" customHeight="1" x14ac:dyDescent="0.25">
      <c r="A170" s="117" t="s">
        <v>911</v>
      </c>
      <c r="B170" s="125" t="str">
        <f>A125</f>
        <v>U onderbouwt de aangevraagde energieproductie uit warmteontrekking aan drinkwater, afvalwater, zeewater of oppervlaktewater. Dit doet u onder andere door het opstellen van een massa-energiebalans. Deze bevat temperaturen en debieten. Dit kunt u doen door bijvoorbeeld de specificatie-sheets van de installatie mee te sturen. Bij complexere installaties stuurt u een processchema van de installatie mee. Ook geeft u een specificatie van het energetisch rendement van de warmtepomp (COP) bij ontwerpcondities.</v>
      </c>
    </row>
    <row r="171" spans="1:2" ht="15" customHeight="1" x14ac:dyDescent="0.25">
      <c r="A171" s="117" t="s">
        <v>269</v>
      </c>
      <c r="B171" s="125" t="str">
        <f>A95</f>
        <v xml:space="preserve">U vraagt subsidie aan in de categorie wind op land, hoogtebeperkt. Ter onderbouwing van de jaarlijks te verwachten energieproductie (netto P50-waarde) moet u een windenergie-opbrengstberekening meesturen. Aan dit onderzoek worden nadere eisen gesteld. Meer informatie vindt u in de 'Handleiding haalbaarheidstudie SDE++’.
Daarnaast geeft u een onderbouwing dat er op de locatie van de productie-installatie sprake is van een hoogterestrictie bij of krachtens landelijke wet- en regelgeving in verband met de aanwezigheid van een luchthaven in de omgeving waardoor de tiphoogte van de windturbine beperkt is tot 150 meter of lager. Vanaf 2024 komen ook projecten voor deze categorie in aanmerking als zij hogere turbines niet kunnen realiseren in verband met mogelijke verstoring van het militair radarbeeld. Het gaat hierbij om productie-installaties die worden gerealiseerd in een plaatselijk luchtverkeersleidingsgebied rond de luchthavens Schiphol, De Kooy, Deelen, Eindhoven, Gilze-Rijen, Leeuwarden, De Peel, Volkel, Woensdreacht of het boven Nederlands grondgebied gelegen deel van de Kleine-Brogel. Deze gebieden zijn vastgesteld door de Minister van Infrastructuur en Waterstaat en zijn  opgenomen in hoofdstuk ENR 6 van de luchtvaartgids (als bedoeld in artikel 605, onderdeel a, onder 1.vijfde lid van de Regeling luchtverkeersdienstverlening van het Luchtvaartreglement, hoofdstuk ENR 6). 
</v>
      </c>
    </row>
    <row r="172" spans="1:2" ht="15" customHeight="1" x14ac:dyDescent="0.25">
      <c r="A172" s="117" t="s">
        <v>261</v>
      </c>
      <c r="B172" s="125" t="str">
        <f>A97</f>
        <v xml:space="preserve">U vraagt subsidie aan in een categorie windenergie. Ter onderbouwing van de jaarlijks te verwachten energieproductie (netto P50-waarde) moet u een windenergie-opbrengstberekening meesturen. Aan dit onderzoek worden nadere eisen gesteld. Meer informatie vindt u in de 'Handleiding haalbaarheidstudie SDE++’.
</v>
      </c>
    </row>
    <row r="173" spans="1:2" ht="15" customHeight="1" x14ac:dyDescent="0.25">
      <c r="A173" s="117" t="s">
        <v>283</v>
      </c>
      <c r="B173" s="125" t="str">
        <f>A99</f>
        <v xml:space="preserve">U vraagt subsidie aan voor een gebouwgebonden zon-PV-installatie. U hoeft geen energie-opbrengstberekening toe te voegen. Bij een gebouwgebonden zon-PV-installatie wordt de energieopbrengst (kWh/jaar) berekend door het piekvermogen van de installatie (in kWp) te vermenigvuldigen met 840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Bereken het beschikbare dakoppervlak en houd rekening met lichtstraten en klimaatinstallaties die op het dak staan. 
Ten slotte bent u verplicht om het ‘Verklaring draagkracht dakconstructie’ bij uw aanvraag te voegen (het model vindt u op de website van RVO). Hierin moet een constructeur een verklaring geven over de belastbaarheid van het dak of de gevel volgens het Besluit bouwwerken leefomgeving. Het onderzoek laat u uitvoeren en ondertekenen door een constructeur.  Reden voor het invoeren van deze eis is dat de realisatie van gebouw gebonden projecten achterblijft op de verwachting. Eén van de meest aangegeven redenen hiervoor is dat na het ontvangen van een beschikking het dak alsnog niet geschikt blijkt en de kosten om het dak geschikt te maken te hoog zijn. </v>
      </c>
    </row>
    <row r="174" spans="1:2" ht="15" customHeight="1" x14ac:dyDescent="0.25">
      <c r="A174" s="117" t="s">
        <v>886</v>
      </c>
      <c r="B174" s="125" t="str">
        <f>A101</f>
        <v xml:space="preserve">U hoeft geen energie-opbrengstberekening toe te voegen. Bij een gebouwgebonden zon-PV-installatie wordt de energieopbrengst (kWh/jaar) berekend door het piekvermogen van de installatie (in kWp) te vermenigvuldigen met 840 vollasturen/jaar. 
Omdat u subsidie aanvraagt voor een categorie gebouwgebonden zon-PV-installatie waarbij het dak van een bestaand gebouw constructief moet worden aangepast of een draagconstructie moet worden toegepast die het dak ontlast en waarbij deze constructieve dakaanpassing of draagconstructie noodzakelijk is voor de realisatie van de productie-installatie, danwel bij het gebruik van het dak van een bestaand gebouw gebruik zal worden gemaakt van een productie-installatie met een maximaal gewicht van 10 kilogram per vierkante meter met zonnepanelen bedekt dakoppervlak wordt u  gevraagd toe te lichten welke aanpassing u gaat doen aan het dak om de plaatsing van de zon-PV-installatie mogelijk te maken tegen welke kosten. Of als u lichtgewicht zonnepanelen gaat plaatsen een onderbouwing van de kosten van de lichtgewichtpanelen. Het is belangrijk dat u aannemelijk maakt dat ook bij deze extra investeringskosten het project economisch haalbaar is. 
Daarbij bent u verplicht een 'Verklaring draagkracht dakconstructie' bij uw aanvraag te voegen (het model vindt u op de website van RVO). In de verklaring vult de constructeur in wat er aan de constructie moet worden aangepast om deze geschikt te maken. 
Ten slotte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Bereken het beschikbare dakoppervlak en houd rekening met lichtstraten en klimaatinstallaties die op het dak staan. 
</v>
      </c>
    </row>
    <row r="175" spans="1:2" ht="15" customHeight="1" x14ac:dyDescent="0.25">
      <c r="A175" s="117" t="s">
        <v>461</v>
      </c>
      <c r="B175" s="125" t="str">
        <f>A103</f>
        <v xml:space="preserve">U vraagt subsidie aan voor een drijvende zon-PV-installatie zonder zonvolgsysteem. U hoeft geen energie-opbrengstberekening toe te voegen. Bij een drijvende zon-PV-installatie zonder zonvolgsysteem wordt de energieopbrengst (kWh/jaar) berekend door het piekvermogen van de installatie (in kWp) te vermenigvuldigen met 855 vollasturen/jaar. Wel wordt u gevraagd om een gedetailleerde tekening op schaal met oriëntatie (richting noorden) waarop de aangevraagde zon-PV-installatie nauwkeurig op de beoogde locatie is ingetekend, toe te voegen. Zijn of komen er op de beoogde locatie meer installaties, dan geeft u dit duidelijk aan. Uit de intekening moet ook de oriëntatie van de installatie blijken. </v>
      </c>
    </row>
    <row r="176" spans="1:2" ht="15" customHeight="1" x14ac:dyDescent="0.25">
      <c r="A176" s="117" t="s">
        <v>287</v>
      </c>
      <c r="B176" s="125" t="str">
        <f>A105</f>
        <v xml:space="preserve">U vraagt subsidie aan voor een grondgebonden zon-PV-installatie zonder zonvolgsysteem. U hoeft geen energie-opbrengstberekening toe te voegen. Bij een grondgebonden zon-PV-installatie zonder zonvolgsysteem wordt de energieopbrengst (kWh/jaar) berekend door het piekvermogen van de installatie (in kWp) te vermenigvuldigen met 855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v>
      </c>
    </row>
    <row r="177" spans="1:2" ht="15" customHeight="1" x14ac:dyDescent="0.25">
      <c r="A177" s="117" t="s">
        <v>887</v>
      </c>
      <c r="B177" s="125" t="str">
        <f>A107</f>
        <v xml:space="preserve">U vraagt subsidie aan voor een natuurinclusief grondgebonden zon-PV-installatie zonder zonvolgsysteem. U hoeft geen energie-opbrengstberekening toe te voegen. Bij een grondgebonden zon-PV-installatie zonder zonvolgsysteem wordt de energieopbrengst (kWh/jaar) berekend door het piekvermogen van de installatie (in kWp) te vermenigvuldigen met 855 vollasturen/jaar. Wel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Om te voldoen aan de natuurinclusief eisen dient de open ruimte tussen de tafels met zonnepanelen, van bovenaf gezien, minimaal 25% te bedragen. Daarnaast kunt u alleen voor de categorie natuurinclusief aanvragen als de vergunning die op grond van de Omgevingswet noodzakelijk is voor de realisatie van de productie-installatie de volgende voorwaarde bevat dat:
a.	er van bovenaf gezien minimaal 25% open ruimte tussen de tafels met zonnepanelen aanwezig is;
b.	er een inrichtingsplan en beheerplan is dat ten doel heeft om verslechtering van de bodemkwaliteit, waterkwaliteit en ecologische kwaliteit gedurende de subsidieperiode te voorkomen; 
c.	de subsidie-ontvanger de effecten van de productie-installatie op de bodemkwaliteit, waterkwaliteit en biodiversiteit monitort en, indien nodig, aanvullende maatregelen neemt om verslechtering van de bodemkwaliteit, waterkwaliteit en ecologische kwaliteit gedurende de subsidieperiode te voorkomen; en 
d.	de subsidie-ontvanger een nulmeting uitvoert om de huidige waarde van de bodemkwaliteit, de waterkwaliteit en de ecologische kwaliteit vast te stellen.
 </v>
      </c>
    </row>
    <row r="178" spans="1:2" ht="15" customHeight="1" x14ac:dyDescent="0.25">
      <c r="A178" s="117" t="s">
        <v>288</v>
      </c>
      <c r="B178" s="125" t="str">
        <f>A109</f>
        <v xml:space="preserve">U vraagt subsidie aan in een categorie zon-PV met een zonvolgend systeem. Ter onderbouwing van de jaarlijks te verwachten netto elektriciteitsproductie moet u een zonne-energie-opbrengstberekening meesturen. Aan dit onderzoek worden nadere eisen gesteld. Meer informatie vindt u in de 'Handleiding haalbaarheidstudie SDE++'. Daarnaast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v>
      </c>
    </row>
    <row r="179" spans="1:2" ht="15" customHeight="1" x14ac:dyDescent="0.25">
      <c r="A179" s="117" t="s">
        <v>888</v>
      </c>
      <c r="B179" s="125" t="str">
        <f>A111</f>
        <v xml:space="preserve">U vraagt subsidie aan in een categorie natuurinclusief grondgebonden zon-PV met een zonvolgend systeem. Ter onderbouwing van de jaarlijks te verwachten netto elektriciteitsproductie moet u een zonne-energie-opbrengstberekening meesturen. Aan dit onderzoek worden nadere eisen gesteld. Meer informatie vindt u in de 'Handleiding haalbaarheidstudie SDE++'. Daarnaast wordt u gevraagd om een gedetailleerde tekening op schaal waarop de aangevraagde zon-PV-installatie nauwkeurig op de beoogde locatie is ingetekend, toe te voegen. Zijn of komen er op de beoogde locatie meer installaties, dan geeft u dit duidelijk aan. Uit de intekening moet ook de oriëntatie van de installatie blijken. 
Om te voldoen aan de natuurinclusief eisen dient de open ruimte tussen de tafels met zonnepanelen, van bovenaf gezien, minimaal 25% te bedragen. Daarnaast kunt u alleen voor de categorie natuurinclusief aanvragen als de vergunning die op grond van de Omgevingswet noodzakelijk is voor de realisatie van de productie-installatie de volgende voorwaarde bevat dat:
a. er van bovenaf gezien minimaal 25% open ruimte tussen de tafels met zonnepanelen aanwezig is;
b. er een inrichtingsplan en beheerplan is dat ten doel heeft om verslechtering van de bodemkwaliteit, waterkwaliteit en ecologische kwaliteit gedurende de subsidieperiode te voorkomen; 
c. de subsidie-ontvanger de effecten van de productie-installatie op de bodemkwaliteit, waterkwaliteit en biodiversiteit monitort en, indien nodig, aanvullende maatregelen neemt om verslechtering van de bodemkwaliteit, waterkwaliteit en ecologische kwaliteit gedurende de subsidieperiode te voorkomen; en 
d. de subsidie-ontvanger een nulmeting uitvoert om de huidige waarde van de bodemkwaliteit, de waterkwaliteit en de ecologische kwaliteit vast te stellen.
 </v>
      </c>
    </row>
    <row r="180" spans="1:2" ht="15" customHeight="1" x14ac:dyDescent="0.25">
      <c r="A180" s="117" t="s">
        <v>293</v>
      </c>
      <c r="B180" s="125" t="str">
        <f>A113</f>
        <v xml:space="preserve">Voor de categorie zonthermie hoeft u geen energie-opbrengstberekening toe te voegen. Bij een zonthermiesysteem met afgedekte collectoren bedraagt het vermogen van een zonthermie installatie 0,7 kWth/m2 apertuuroppervlakte. Bij zonnecollectorsystemen met zonvolgende concentrerende collectoren  bedraagt het vermogen van een zonthermie installatie 0,7 kWth/m2 aangestraald oppervlak van de spiegels of lenzen voor het concentreren van zonlicht. De energieopbrengst (kWh/jaar) wordt berekend door het totaal thermisch vermogen van de installatie (in kW) te vermenigvuldigen met 600 vollasturen/jaar. Wel wordt u gevraagd om een gedetailleerde tekening op schaal waarop de aangevraagde zonthermie-installatie nauwkeurig op de beoogde locatie is ingetekend, toe te voegen. Zijn of komen er op de beoogde locatie meer installaties, dan geeft u dit duidelijk aan. Uit de intekening moet ook de oriëntatie van de installatie blijken. Bereken ingeval van een dakgebonden systeem het beschikbare dakoppervlak en houd rekening met lichtstraten en klimaatinstallaties die op het dak staan.
</v>
      </c>
    </row>
    <row r="181" spans="1:2" ht="15" customHeight="1" x14ac:dyDescent="0.25">
      <c r="A181" s="117" t="s">
        <v>295</v>
      </c>
      <c r="B181" s="125" t="str">
        <f>A115</f>
        <v>U onderbouwt de aangevraagde energieproductie uit het daglichtkasconcept. Dit doet u onder andere door het opstellen van een massa-energiebalans over het jaar. Deze bevat temperaturen en debieten. Dit doet u door de specificatie-sheets van de installatie en een gedetailleerde tekening op schaal waarop de aangevraagde zonthermie-installatie nauwkeurig is ingetekend mee te sturen. Daarnaast stuurt u een processchema van de gehele productie-installatie mee, met daarin aangegeven het zonthermische systeem, de seizoensopslag voor warmte, de warmtepomp en temperaturen en debieten. Ook geeft u een specificatie van het energetisch rendement van de warmtepomp (COP) bij ontwerpcondities. De productie-installatie mag niet gebruikt worden voor koudelevering.</v>
      </c>
    </row>
    <row r="182" spans="1:2" ht="15" customHeight="1" x14ac:dyDescent="0.25">
      <c r="A182" s="117" t="s">
        <v>159</v>
      </c>
      <c r="B182" s="125" t="str">
        <f>A117</f>
        <v>U onderbouwt de aangevraagde energieproductie uit het zon-PVT met warmtepompsysteem. Dit doet u onder andere door het opstellen van een massa-energiebalans over het jaar. Deze bevat temperaturen en debieten. Dit kunt u doen door bijvoorbeeld de specificatie-sheets van de installatie mee te sturen. Daarnaast stuurt u een processchema van de gehele productie-installatie mee, met daarin aangegeven het zonthermische systeem, de eventuele seizoensopslag voor warmte, de warmtepomp en temperaturen en debieten. Ook geeft u een specificatie van het energetisch rendement van de warmtepomp (COP) bij ontwerpcondities. Verder onderbouwt u dat de oppervlakte aan fotovoltaïsch-thermische panelen minimaal 1,2 m² per kWth aan vermogen van de warmtepomp bedraagt en voegt u een gedetailleerde tekening op schaal toe waarop de zonnepanelen nauwkeurig op de beoogde locatie zijn ingetekend. Zijn of komen er op de beoogde locatie meer installaties, dan geeft u dit duidelijk aan. Uit de intekening moet ook de oriëntatie van de installatie blijken. De productie-installatie mag niet gebruikt worden voor koudelevering.</v>
      </c>
    </row>
    <row r="183" spans="1:2" ht="15" customHeight="1" x14ac:dyDescent="0.25">
      <c r="A183" s="117" t="s">
        <v>895</v>
      </c>
      <c r="B183" s="125" t="str">
        <f>A119</f>
        <v xml:space="preserve">U onderbouwt de aangevraagde energieproductie uit de lucht-water warmtepomp. Dit doet u onder andere door het opstellen van een energiebalans over het jaar. Deze bevat temperaturen en debieten. Dit kunt u doen door bijvoorbeeld de specificatie-sheets van de installatie mee te sturen. Daarnaast stuurt u een processchema van de gehele productie-installatie mee, met daarin aangegeven de lucht-water warmtepomp. Ook geeft u een specificatie van het energetisch rendement van de warmtepomp (COP) bij ontwerpcondities. 
Aan de lucht-water warmtepomp worden temperatuur- en rendementseisen gesteld. De leveringstemperatuur van de warmtepomp bedraagt tenminste 70 ⁰C in het stookseizoen bij -10⁰ C buitentemperatuur of lager. Bij hogere buitentemperaturen mag de warmtepomp ook op een lagere aanvoertemperatuur leveren. De COP-waarde van de warmtepomp dient ten minste 3,0 te bedragen bij gemiddelde gebruiksomstandigheden. De geproduceerde warmte mag enkel worden gebruikt voor de verwarming van bestaande gebouwen in de gebouwde omgeving. </v>
      </c>
    </row>
    <row r="184" spans="1:2" ht="15" customHeight="1" x14ac:dyDescent="0.25">
      <c r="A184" s="117" t="s">
        <v>896</v>
      </c>
      <c r="B184" s="125" t="str">
        <f>A121</f>
        <v xml:space="preserve">U onderbouwt de aangevraagde energieproductie uit de lucht-water warmtepomp. Dit doet u onder andere door het opstellen van een energiebalans over het jaar. Deze bevat temperaturen en debieten. Dit kunt u doen door bijvoorbeeld de specificatie-sheets van de installatie mee te sturen. Daarnaast stuurt u een processchema van de gehele productie-installatie mee, met daarin aangegeven de lucht-water warmtepomp. Ook geeft u een specificatie van het energetisch rendement van de warmtepomp (COP) bij ontwerpcondities. 
Aan de lucht-water warmtepomp worden temperatuur- en rendementseisen gesteld. De leveringstemperatuur van de warmtepomp bedraagt tenminste 40 ⁰C in het stookseizoen bij -10⁰ C buitentemperatuur of lager. Bij hogere buitentemperaturen mag de warmtepomp ook op een lagere aanvoertemperatuur leveren. De COP-waarde van de warmtepomp dient ten minste 4,0 te bedragen bij gemiddelde gebruiksomstandigheden. De geproduceerde warmte mag enkel worden gebruikt voor de verwarming van bestaande gebouwen en tuinbouwkassen. </v>
      </c>
    </row>
    <row r="185" spans="1:2" ht="15" customHeight="1" x14ac:dyDescent="0.25">
      <c r="A185" s="117" t="s">
        <v>307</v>
      </c>
      <c r="B185" s="125" t="str">
        <f>A127</f>
        <v>U onderbouwt de aangevraagde hoeveelheid CO₂ die u gaat afvangen en opslaan. Dit kunt u doen door bijvoorbeeld de specificatie-sheets van de CO₂ -afvanginstallatie en een beschrijving van het proces waarbij uit restgassen waterstof wordt geproduceert en CO₂ vrijkomt en afgevangen wordt toe te voegen. Daarnaast geeft u aan voor welk proces de geproduceerde waterstof voor ondervuring wordt ingezet. Tevens geeft u aan of uw project een bestaande of nieuwe afvanginstallatie betreft bij een bestaand of nieuw proces en vermeldt u of er gebruik wordt gemaakt van een nieuwe compressor of vervloeiingsinstallatie. 
Verder voegt u de capaciteitsverklaring(en) van de transport-en opslagpartijen toe waarmee u aantoont dat de afgevangen hoeveelheid CO₂ kan worden getransporteerd en opgeslagen. Ten slotte voegt u rapport(en) toe over de infrastructuur voor transport en de opslag die zijn opgesteld door de transport-en opslagpartijen, die voldoen aan het model 'Vereiste informatie transport- en opslagverklaring’, gepubliceerd op de website van de Rijksdienst voor Ondernemend Nederland.</v>
      </c>
    </row>
    <row r="186" spans="1:2" ht="15" customHeight="1" x14ac:dyDescent="0.25">
      <c r="A186" s="117" t="s">
        <v>302</v>
      </c>
      <c r="B186" s="122" t="str">
        <f>A129</f>
        <v>U onderbouwt de aangevraagde hoeveelheid CO₂ die u gaat afvangen en opslaan. Dit kunt u doen door bijvoorbeeld de specificatie-sheets van de CO₂ -afvanginstallatie en een beschrijving van het proces waarbij de CO₂ vrijkomt en afgevangen wordt toe te voegen. Daarbij geeft u tevens aan of uw project een bestaande of nieuwe afvanginstallatie betreft bij een bestaand of nieuw proces. Daarnaast vermeldt u of er gebruik wordt gemaakt van een nieuwe compressor of vervloeiingsinstallatie. 
Verder voegt u de capaciteitsverklaring(en) van de transport-en opslagpartijen toe waarmee u aantoont dat de afgevangen hoeveelheid CO₂ kan worden getransporteerd en opgeslagen, hiervoor is een model beschikbaar op de website van Rijksdienst voor Ondernemend Nederland. Ten slotte voegt u rapport(en) toe over de infrastructuur voor transport en de opslag die zijn opgesteld door de transport-en opslagpartijen, die voldoen aan het model 'Vereiste informatie transport- en opslagverklaring’, gepubliceerd op de website van de Rijksdienst voor Ondernemend Nederland.</v>
      </c>
    </row>
    <row r="187" spans="1:2" ht="15" customHeight="1" x14ac:dyDescent="0.25">
      <c r="A187" s="117" t="s">
        <v>328</v>
      </c>
      <c r="B187" s="122" t="str">
        <f>A131</f>
        <v>U onderbouwt de aangevraagde hoeveelheid CO₂ die u gaat afvangen en leveren aan de glastuinbouw. Dit kunt u doen door bijvoorbeeld de specificatie-sheets van de CO₂-afvanginstallatie en een beschrijving van het proces waarbij de CO₂ vrijkomt en afgevangen wordt toe te voegen. Daarbij geeft u tevens aan of het een bestaande of nieuwe afvanginstallatie en of het een bestaand of nieuw proces betreft. Daarnaast voegt u een plattegrond met het beoogde leidingtracé van CO₂ -afvang tot CO₂-levering toe. Ook geeft u aan of u als aanvrager zelf de CO₂ gaat transporteren of laat transporteren door een derde. Indien u gebruik maakt van vloeibaar transport per schip of vrachtwagen geeft u dat ook aan en beschrijft u over welk traject dat gaat plaatsvinden. Ook geeft u een onderbouwing van de CO₂-afzet in de glastuinbouw, bijvoorbeeld aan de hand van een intentieverklaring van afnemers.</v>
      </c>
    </row>
    <row r="188" spans="1:2" ht="15" customHeight="1" x14ac:dyDescent="0.25">
      <c r="A188" s="117" t="s">
        <v>341</v>
      </c>
      <c r="B188" s="122" t="str">
        <f>A133</f>
        <v>U onderbouwt de hoeveelheid warmte die het elektrisch aangedreven gesloten warmtepompsysteem op jaarbasis gaat leveren. U voegt een processchema toe met debieten en temperaturen waaruit blijkt uit welke warmtebron of warmtestroom de warmtepomp de warmte onttrekt, welke warmstroom door de warmtepomp wordt opgewaardeerd en voor welk proces deze warmte benut wordt. Ook geeft u een specificatie van het energetisch rendement van de warmtepomp (COP) bij ontwerpcondities binnen het productieproces waarbij de warmtepomp wordt toegepast.</v>
      </c>
    </row>
    <row r="189" spans="1:2" ht="15" customHeight="1" x14ac:dyDescent="0.25">
      <c r="A189" s="117" t="s">
        <v>346</v>
      </c>
      <c r="B189" s="122" t="str">
        <f>A135</f>
        <v>U onderbouwt de hoeveelheid warmte die het elektrisch aangedreven open warmtepompsysteem (damprecompressie) op jaarbasis gaat leveren. U geeft daarbij aan voor welk industrieel proces het open warmtepompsysteem wordt toegepast en voegt een processchema toe met temperaturen en debieten. Ook geeft u een specificatie van het energetisch rendement van de warmtepomp (COP) bij ontwerpcondities binnen het productieproces waarbij de warmtepomp wordt toegepast.</v>
      </c>
    </row>
    <row r="190" spans="1:2" ht="15" customHeight="1" x14ac:dyDescent="0.25">
      <c r="A190" s="117" t="s">
        <v>894</v>
      </c>
      <c r="B190" s="122" t="str">
        <f>A137</f>
        <v xml:space="preserve">U vraagt aan in de categorie procesgeïntegreerde warmtepomp waarbij warmte wordt hergebruikt in een op het moment van de aanvraag bestaand verdampingsproces door middel van een of meerdere elektrisch aangedreven warmtepompen met een totaal thermisch vermogen van minimaal 500 kWth waarbij de hoeveelheid bespaarde ingaande warmte per hoeveelheid extra opgenomen elektriciteit bij vollast bedrijf bedraagt ten minste 3,0 bedraagt, bepaald op een fictieve gesloten omhulling waarbinnen zich de warmtepomp of warmtepompen en de tot de productie-installatie behorende procesaanpassingen bevinden. Het bestaande verdampingsproces wordt ten minste aangepast door: 
a) over te stappen van een bedrijfsvoering waarbij de reactor telkens een bepaalde hoeveelheid product verwerkt, waarbij de reactor helemaal geleegd moet worden alvorens te worden gevuld, naar een bedrijfsvoering waarbij voortdurend product wordt toegevoegd en verwijderd, waarbij het verdampingsproces behoudens uitval of pauzes in stationaire toestand plaatsvindt; of 
b) het plaatsen van een nieuw verdampingsvat of een nieuwe verdampingsreactor om de warmtepomp te kunnen integreren; of 
c) het installeren van een nieuwe verdampingskap of een nieuwe warmtewisselaar ten behoeve van het terugwinnen van latente warmte uit de verdampingsinstallatie. 
U onderbouwt welke van de hierboven genoemde procesaanpassingen u gaat doen. Daarnaast onderbouwt u de hoeveelheid warmte die het elektrisch aangedreven procesgeintegreerde warmtepompsysteem op jaarbasis gaat leveren. U geeft daarbij aan voor welk industrieel proces het warmtepompsysteem wordt toegepast en voegt een processchema toe met temperaturen en debieten. Ook geeft u een berekening van de uitgespaarde hoeveelheid warmte en het extra opgenomen elektrische energie van het warmtepompsysteem. U toont aan dat het geïntegreerde warmtepompsysteem kan voldoen aan de COP-eis van 3,0 (COP = reductie warmtevraag gedeeld door de extra opgenomen elektrische energie) binnen het bestaande verdampingsproces waarbij de warmtepomp wordt toegepast. Tenslotte geldt dat de productie-installatie warmte produceert die op dezelfde locatie wordt gebruikt voor een industriële toepassing, niet zijnde tuinbouw, en dat er geen koude wordt geleverd. </v>
      </c>
    </row>
    <row r="191" spans="1:2" ht="15" customHeight="1" x14ac:dyDescent="0.25">
      <c r="A191" s="117" t="s">
        <v>350</v>
      </c>
      <c r="B191" s="122" t="str">
        <f>A139</f>
        <v>U onderbouwt de hoeveelheid restwarmte die op jaarbasis wordt uitgekoppeld. U geeft daarbij aan uit welk productieproces de restwarmte afkomstig is, wat het temperatuurniveau is en wat er in de bestaande situatie met de restwarmte werd gedaan. Daarnaast geeft u aan wat het vermogen is van de restwarmtestroom en voor welke nuttige aanwending de restwarmte in de nieuwe situatie krijgt. Ook voegt u een plattegrond toe van het beoogde leidingtracé met leidingdiameters en leidinglengte van uitkoppeling tot aan de afnemer van de restwarmte. Ten slotte geeft u voor uw project een onderbouwing dat uw project voldoet aan de gestelde rato voor vermogen en leidinglengte van de categorie waarvoor u subsidie aanvraagt (deze rato is de som van nieuw aan te leggen warmtetransportleidingen en het vermogen van de restwarmtestroom, uitgedrukt in km/MWth).</v>
      </c>
    </row>
    <row r="192" spans="1:2" ht="15" customHeight="1" x14ac:dyDescent="0.25">
      <c r="A192" s="117" t="s">
        <v>356</v>
      </c>
      <c r="B192" s="122" t="str">
        <f>A141</f>
        <v xml:space="preserve">U onderbouwt de hoeveelheid restwarmte die op jaarbasis wordt uitgekoppeld. U geeft daarbij aan uit welk productieproces de restwarmte afkomstig is, wat het temperatuurniveau is en wat er in de bestaande situatie met de restwarmte werd gedaan. Daarnaast geeft u aan wat het vermogen is van de restwarmtestroom en voor welke nuttige aanwending en op welk temperatuurniveau de restwarmte die opgewaardeerd wordt met een warmtepomp in de nieuwe situatie krijgt. Ook voegt u een plattegrond toe van het beoogde leidingtracé met warmtepomp van uitkoppeling tot aan de afnemer van de restwarmte. Ten slotte geeft u een specificatie van het energetisch rendement van de warmtepomp (COP) bij ontwerpcondities. </v>
      </c>
    </row>
    <row r="193" spans="1:6" ht="15" customHeight="1" x14ac:dyDescent="0.25">
      <c r="A193" s="117" t="s">
        <v>361</v>
      </c>
      <c r="B193" s="122" t="str">
        <f>A143</f>
        <v xml:space="preserve">U onderbouwt de aangevraagde warmteproductie uit elektriciteit. U stuurt een processchema van de installatie mee waarmee u inzichtelijk maakt hoe groot de totale warmtevraag is van de warmteafnemers en op welk temperatuurniveau. Daarbij toont u aan dat de warmte van de elektroboiler wordt toegepast in een verwarmingssysteem met een aanvoertemperatuur aan de gebruikerszijde van ten minste 100 ⁰C in het stookseizoen of in een stoomsysteem (met gebruikerszijde wordt de eerste gebruiker van de warmte bedoeld). Eventueel vermeldt u, indien er ook andere warmteopwekkers met de elektroboiler warmtezijdig zijn verbonden, welke dat zijn en wat het vermogen daarvan is. Voor de elektrische aansluiting van de elektroboiler geldt dat deze minimaal het nominale vermogen van de elektrische boiler bedraagt. </v>
      </c>
    </row>
    <row r="194" spans="1:6" ht="15" customHeight="1" x14ac:dyDescent="0.25">
      <c r="A194" s="117" t="s">
        <v>898</v>
      </c>
      <c r="B194" s="122" t="str">
        <f>A145</f>
        <v xml:space="preserve">U vraagt aan voor de categorie elektroboiler met thermische opslag met een vermogen van minimaal 2 MWth voor gebruik op locatie voor een industriële toepassing, niet zijnde tuinbouw, waarbij sprake is van de uitgestelde levering van warmte door de toepassing van thermische opslag. 
U onderbouwt de aangevraagde warmteproductie uit elektriciteit. U stuurt een processchema van de installatie mee waarmee u inzichtelijk maakt hoe groot de totale warmtevraag is van de warmteafnemers en op welk temperatuurniveau. Daarbij toont u aan dat de warmte van de elektroboiler wordt toegepast in een verwarmingssysteem met een aanvoertemperatuur aan de gebruikerszijde van ten minste 100 ⁰C of in een stoomsysteem. Eventueel vermeldt u, indien er ook andere warmteopwekkers met de elektroboiler warmtezijdig zijn verbonden, welke dat zijn en wat het vermogen daarvan is. Voor de elektrische aansluiting van de elektroboiler geldt dat deze minimaal het nominale vermogen van de elektrische boiler bedraagt. 
Het nominaal elektrisch vermogen van de productie-installatie bedraagt minstens anderhalf keer het nominaal thermisch vermogen van de productie-installatie, waarbij de opslagcapaciteit ten minste 3 MWh per MW thermisch vermogen van de productie-installatie moet bedragen. Het nominaal thermisch vermogen van de productie-installatie bedraagt ten hoogste 50 MWth. </v>
      </c>
    </row>
    <row r="195" spans="1:6" ht="15" customHeight="1" x14ac:dyDescent="0.25">
      <c r="A195" s="117" t="s">
        <v>363</v>
      </c>
      <c r="B195" s="122" t="str">
        <f>A147</f>
        <v>Als u subsidie aanvraagt in de categorie waterstof uit elektrolyse netgekoppeld, moet u ter onderbouwing een beschrijving van uw productie-installatie meesturen en een onderbouwing van de jaarlijkse hoeveelheid waterstofproductie. 
Verder geldt dat uitsluitend subsidie wordt verstrekt voor de waterstof die volledig hernieuwbaar is en voldoet aan de gedelegeerde verordening (er moeten hernieuwbare stroomovereenkomsten worden afgesloten die betrekking hebben op de levering van hernieuwbare elektriciteit uit wind- of zonne-energie). Tijdens de exploitatie dient u dan te beschikken over het bewijs van afboeking van garanties van oorsprong (GvO) voor hernieuwbare elektriciteit, die zijn uitgegeven voor productie-installaties voor de productie van hernieuwbare elektriciteit uit wind- of zonne-energie waarvoor de hernieuwbare stroomafnameovereenkomsten zijn aangegaan.</v>
      </c>
    </row>
    <row r="196" spans="1:6" ht="15" customHeight="1" x14ac:dyDescent="0.25">
      <c r="A196" s="117" t="s">
        <v>366</v>
      </c>
      <c r="B196" s="122" t="str">
        <f>A149</f>
        <v xml:space="preserve">Als u subsidie aanvraagt in de categorie waterstof uit elektrolyse met directe lijn met een wind- of zonnepark, moet u ter onderbouwing een beschrijving van uw productie-installatie voor waterstof en een beschrijving van het wind-of zonnepark waaraan de waterstofproductie-installatie is gekoppeld meesturen. Daarnaast moet u een onderbouwing geven van de jaarlijkse hoeveelheid waterstofproductie. Er mag geen subsidie zijn verstrekt voor de hernieuwbare elektriciteit die wordt gebruikt.
Verder onderbouwt u dat uw waterstof productie-installatie geschikt is om flexibel in te zetten en dat de installatie in staat is, terwijl deze gereed is voor gebruik, om minder dan 1% elektriciteit van het maximale vermogen van de productie-installatie te gebruiken. 
</v>
      </c>
    </row>
    <row r="198" spans="1:6" x14ac:dyDescent="0.25">
      <c r="A198" s="116" t="s">
        <v>462</v>
      </c>
    </row>
    <row r="199" spans="1:6" x14ac:dyDescent="0.25">
      <c r="A199" s="121" t="str">
        <f>VLOOKUP(Hulpblad_categorieën_parameters!D75,Hulpblad_categorieën_parameters!A81:W303,23,FALSE)</f>
        <v xml:space="preserve">Gebouwgebonden Zon-PV </v>
      </c>
      <c r="B199" s="141"/>
      <c r="C199" s="141"/>
      <c r="D199" s="141"/>
    </row>
    <row r="200" spans="1:6" x14ac:dyDescent="0.25">
      <c r="B200" s="141"/>
      <c r="C200" s="141"/>
      <c r="D200" s="141"/>
    </row>
    <row r="201" spans="1:6" x14ac:dyDescent="0.25">
      <c r="B201" s="141"/>
      <c r="C201" s="141"/>
      <c r="D201" s="141"/>
    </row>
    <row r="202" spans="1:6" ht="18" customHeight="1" x14ac:dyDescent="0.25">
      <c r="A202" s="142" t="s">
        <v>463</v>
      </c>
      <c r="B202" s="143" t="s">
        <v>206</v>
      </c>
      <c r="C202" s="143" t="s">
        <v>464</v>
      </c>
      <c r="D202" s="143" t="s">
        <v>465</v>
      </c>
      <c r="E202" s="143" t="s">
        <v>466</v>
      </c>
      <c r="F202" s="143" t="s">
        <v>467</v>
      </c>
    </row>
    <row r="203" spans="1:6" x14ac:dyDescent="0.25">
      <c r="A203" s="117" t="s">
        <v>200</v>
      </c>
      <c r="B203" s="144" t="s">
        <v>468</v>
      </c>
      <c r="C203" s="117" t="s">
        <v>395</v>
      </c>
      <c r="D203" s="117"/>
      <c r="E203" s="117" t="s">
        <v>395</v>
      </c>
    </row>
    <row r="204" spans="1:6" x14ac:dyDescent="0.25">
      <c r="A204" s="117" t="s">
        <v>206</v>
      </c>
      <c r="B204" s="144" t="s">
        <v>468</v>
      </c>
      <c r="C204" s="117" t="s">
        <v>395</v>
      </c>
      <c r="D204" s="117" t="s">
        <v>395</v>
      </c>
      <c r="E204" s="117" t="s">
        <v>395</v>
      </c>
    </row>
    <row r="205" spans="1:6" ht="25.5" customHeight="1" x14ac:dyDescent="0.25">
      <c r="A205" s="117" t="s">
        <v>143</v>
      </c>
      <c r="B205" s="117" t="s">
        <v>395</v>
      </c>
      <c r="C205" s="122" t="s">
        <v>469</v>
      </c>
      <c r="D205" s="117"/>
      <c r="E205" s="117" t="s">
        <v>395</v>
      </c>
    </row>
    <row r="206" spans="1:6" x14ac:dyDescent="0.25">
      <c r="A206" s="117" t="s">
        <v>253</v>
      </c>
      <c r="B206" s="117" t="s">
        <v>395</v>
      </c>
      <c r="C206" s="117" t="s">
        <v>395</v>
      </c>
      <c r="D206" s="117" t="s">
        <v>395</v>
      </c>
      <c r="E206" s="117" t="s">
        <v>395</v>
      </c>
    </row>
    <row r="207" spans="1:6" x14ac:dyDescent="0.25">
      <c r="A207" s="117" t="s">
        <v>303</v>
      </c>
      <c r="B207" s="117" t="s">
        <v>395</v>
      </c>
      <c r="C207" s="117" t="s">
        <v>395</v>
      </c>
      <c r="D207" s="117" t="s">
        <v>395</v>
      </c>
      <c r="E207" s="117"/>
    </row>
    <row r="208" spans="1:6" x14ac:dyDescent="0.25">
      <c r="A208" s="117" t="s">
        <v>329</v>
      </c>
      <c r="B208" s="117" t="s">
        <v>395</v>
      </c>
      <c r="C208" s="117" t="s">
        <v>395</v>
      </c>
      <c r="D208" s="117" t="s">
        <v>395</v>
      </c>
      <c r="E208" s="117"/>
    </row>
    <row r="209" spans="1:5" x14ac:dyDescent="0.25">
      <c r="A209" s="117" t="s">
        <v>364</v>
      </c>
      <c r="B209" s="117" t="s">
        <v>395</v>
      </c>
      <c r="C209" s="117" t="s">
        <v>395</v>
      </c>
      <c r="D209" s="117" t="s">
        <v>395</v>
      </c>
      <c r="E209" s="117" t="s">
        <v>395</v>
      </c>
    </row>
    <row r="210" spans="1:5" x14ac:dyDescent="0.25">
      <c r="A210" s="117" t="s">
        <v>370</v>
      </c>
      <c r="B210" s="117" t="s">
        <v>395</v>
      </c>
      <c r="C210" s="117" t="s">
        <v>395</v>
      </c>
      <c r="D210" s="117" t="s">
        <v>395</v>
      </c>
      <c r="E210" s="117" t="s">
        <v>395</v>
      </c>
    </row>
    <row r="211" spans="1:5" x14ac:dyDescent="0.25">
      <c r="A211" s="117" t="s">
        <v>376</v>
      </c>
      <c r="B211" s="117" t="s">
        <v>395</v>
      </c>
      <c r="C211" s="117" t="s">
        <v>395</v>
      </c>
      <c r="D211" s="117" t="s">
        <v>395</v>
      </c>
      <c r="E211" s="117" t="s">
        <v>395</v>
      </c>
    </row>
    <row r="212" spans="1:5" x14ac:dyDescent="0.25">
      <c r="A212" s="117" t="s">
        <v>470</v>
      </c>
      <c r="B212" s="117" t="s">
        <v>395</v>
      </c>
      <c r="C212" s="117" t="s">
        <v>395</v>
      </c>
      <c r="D212" s="117" t="s">
        <v>395</v>
      </c>
      <c r="E212" s="117" t="s">
        <v>395</v>
      </c>
    </row>
    <row r="213" spans="1:5" x14ac:dyDescent="0.25">
      <c r="B213" s="117"/>
    </row>
    <row r="214" spans="1:5" x14ac:dyDescent="0.25">
      <c r="A214" s="116" t="s">
        <v>471</v>
      </c>
    </row>
    <row r="215" spans="1:5" x14ac:dyDescent="0.25">
      <c r="A215" s="121" t="str">
        <f>VLOOKUP(Hulpblad_categorieën_parameters!D75,Hulpblad_categorieën_parameters!A81:X303,24,FALSE)</f>
        <v>Elektriciteit</v>
      </c>
    </row>
    <row r="217" spans="1:5" x14ac:dyDescent="0.25">
      <c r="A217" s="116" t="s">
        <v>472</v>
      </c>
    </row>
    <row r="218" spans="1:5" x14ac:dyDescent="0.25">
      <c r="A218">
        <v>1</v>
      </c>
      <c r="B218" s="121" t="str">
        <f>IF(A215="Gecombineerde opwekking","Warmtegebruik binnen eigen bedrijf",IF(AND(A215="Warmte",Hulpblad_categorieën_parameters!D25="Restwarmtebenutting"),"Warmtegebruik binnen eigen bedrijf op een andere locatie",IF(A215="Warmte","Warmtegebruik binnen eigen bedrijf","Niet van toepassing")))</f>
        <v>Niet van toepassing</v>
      </c>
    </row>
    <row r="219" spans="1:5" x14ac:dyDescent="0.25">
      <c r="A219">
        <v>2</v>
      </c>
      <c r="B219" s="133" t="str">
        <f>IF(A215="Gecombineerde opwekking","warmtegebruik binnen eigen bedrijf én warmtelevering aan derden",IF(AND(A215="Warmte",Hulpblad_categorieën_parameters!D25="Restwarmtebenutting"),"Warmtelevering aan derden",IF(A215="Warmte","Warmtegebruik binnen eigen bedrijf én warmtelevering aan derden","")))</f>
        <v/>
      </c>
    </row>
    <row r="220" spans="1:5" x14ac:dyDescent="0.25">
      <c r="A220">
        <v>3</v>
      </c>
      <c r="B220" s="133" t="str">
        <f>IF(A215="Gecombineerde opwekking","Warmtelevering aan derden",IF(AND(A215="Warmte",Hulpblad_categorieën_parameters!D25="Restwarmtebenutting"),"",IF(A215="Warmte","Warmtelevering aan derden","")))</f>
        <v/>
      </c>
    </row>
    <row r="221" spans="1:5" x14ac:dyDescent="0.25">
      <c r="B221" s="121">
        <v>1</v>
      </c>
      <c r="C221" s="121" t="str">
        <f>VLOOKUP(B221,A218:B220,2,FALSE)</f>
        <v>Niet van toepassing</v>
      </c>
    </row>
    <row r="222" spans="1:5" x14ac:dyDescent="0.25">
      <c r="A222" s="117"/>
    </row>
    <row r="223" spans="1:5" x14ac:dyDescent="0.25">
      <c r="A223" s="116"/>
    </row>
    <row r="224" spans="1:5" x14ac:dyDescent="0.25">
      <c r="A224" s="187" t="s">
        <v>473</v>
      </c>
      <c r="B224" s="187" t="s">
        <v>474</v>
      </c>
    </row>
    <row r="225" spans="1:2" x14ac:dyDescent="0.25">
      <c r="A225" s="117" t="s">
        <v>475</v>
      </c>
      <c r="B225" s="187" t="s">
        <v>476</v>
      </c>
    </row>
    <row r="226" spans="1:2" x14ac:dyDescent="0.25">
      <c r="A226" s="117" t="s">
        <v>477</v>
      </c>
      <c r="B226" s="187" t="s">
        <v>478</v>
      </c>
    </row>
    <row r="227" spans="1:2" x14ac:dyDescent="0.25">
      <c r="A227" s="117" t="s">
        <v>395</v>
      </c>
      <c r="B227" s="117" t="s">
        <v>395</v>
      </c>
    </row>
    <row r="228" spans="1:2" x14ac:dyDescent="0.25">
      <c r="A228" s="187" t="s">
        <v>479</v>
      </c>
      <c r="B228" s="117" t="s">
        <v>480</v>
      </c>
    </row>
  </sheetData>
  <mergeCells count="45">
    <mergeCell ref="A83:D83"/>
    <mergeCell ref="A85:D85"/>
    <mergeCell ref="A123:D123"/>
    <mergeCell ref="A121:D121"/>
    <mergeCell ref="A74:D74"/>
    <mergeCell ref="A77:D77"/>
    <mergeCell ref="A157:D157"/>
    <mergeCell ref="A133:D133"/>
    <mergeCell ref="A135:D135"/>
    <mergeCell ref="A139:D139"/>
    <mergeCell ref="A141:D141"/>
    <mergeCell ref="A143:D143"/>
    <mergeCell ref="A147:D147"/>
    <mergeCell ref="A149:D149"/>
    <mergeCell ref="A151:D151"/>
    <mergeCell ref="A153:D153"/>
    <mergeCell ref="A155:D155"/>
    <mergeCell ref="A145:D145"/>
    <mergeCell ref="A131:D131"/>
    <mergeCell ref="A99:D99"/>
    <mergeCell ref="A103:D103"/>
    <mergeCell ref="A117:D117"/>
    <mergeCell ref="A119:D119"/>
    <mergeCell ref="A101:D101"/>
    <mergeCell ref="A107:D107"/>
    <mergeCell ref="A111:D111"/>
    <mergeCell ref="A109:D109"/>
    <mergeCell ref="A113:D113"/>
    <mergeCell ref="A115:D115"/>
    <mergeCell ref="F77:H77"/>
    <mergeCell ref="F78:H78"/>
    <mergeCell ref="A79:D79"/>
    <mergeCell ref="F79:H79"/>
    <mergeCell ref="A137:D137"/>
    <mergeCell ref="A95:D95"/>
    <mergeCell ref="A81:D81"/>
    <mergeCell ref="A87:D87"/>
    <mergeCell ref="A89:D89"/>
    <mergeCell ref="A91:D91"/>
    <mergeCell ref="A93:D93"/>
    <mergeCell ref="A125:D125"/>
    <mergeCell ref="A127:D127"/>
    <mergeCell ref="A129:D129"/>
    <mergeCell ref="A97:D97"/>
    <mergeCell ref="A105:D10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0C27ED-307E-4206-B654-95331224131D}">
  <dimension ref="A1:S24"/>
  <sheetViews>
    <sheetView workbookViewId="0">
      <selection activeCell="L10" sqref="L10"/>
    </sheetView>
  </sheetViews>
  <sheetFormatPr defaultRowHeight="15" x14ac:dyDescent="0.25"/>
  <cols>
    <col min="1" max="1" width="56" style="4" customWidth="1"/>
    <col min="2" max="2" width="12.7109375" style="4" customWidth="1"/>
    <col min="3" max="18" width="15.7109375" style="4" customWidth="1"/>
    <col min="19" max="256" width="9.140625" style="4"/>
    <col min="257" max="257" width="56" style="4" customWidth="1"/>
    <col min="258" max="258" width="12.7109375" style="4" customWidth="1"/>
    <col min="259" max="274" width="15.7109375" style="4" customWidth="1"/>
    <col min="275" max="512" width="9.140625" style="4"/>
    <col min="513" max="513" width="56" style="4" customWidth="1"/>
    <col min="514" max="514" width="12.7109375" style="4" customWidth="1"/>
    <col min="515" max="530" width="15.7109375" style="4" customWidth="1"/>
    <col min="531" max="768" width="9.140625" style="4"/>
    <col min="769" max="769" width="56" style="4" customWidth="1"/>
    <col min="770" max="770" width="12.7109375" style="4" customWidth="1"/>
    <col min="771" max="786" width="15.7109375" style="4" customWidth="1"/>
    <col min="787" max="1024" width="9.140625" style="4"/>
    <col min="1025" max="1025" width="56" style="4" customWidth="1"/>
    <col min="1026" max="1026" width="12.7109375" style="4" customWidth="1"/>
    <col min="1027" max="1042" width="15.7109375" style="4" customWidth="1"/>
    <col min="1043" max="1280" width="9.140625" style="4"/>
    <col min="1281" max="1281" width="56" style="4" customWidth="1"/>
    <col min="1282" max="1282" width="12.7109375" style="4" customWidth="1"/>
    <col min="1283" max="1298" width="15.7109375" style="4" customWidth="1"/>
    <col min="1299" max="1536" width="9.140625" style="4"/>
    <col min="1537" max="1537" width="56" style="4" customWidth="1"/>
    <col min="1538" max="1538" width="12.7109375" style="4" customWidth="1"/>
    <col min="1539" max="1554" width="15.7109375" style="4" customWidth="1"/>
    <col min="1555" max="1792" width="9.140625" style="4"/>
    <col min="1793" max="1793" width="56" style="4" customWidth="1"/>
    <col min="1794" max="1794" width="12.7109375" style="4" customWidth="1"/>
    <col min="1795" max="1810" width="15.7109375" style="4" customWidth="1"/>
    <col min="1811" max="2048" width="9.140625" style="4"/>
    <col min="2049" max="2049" width="56" style="4" customWidth="1"/>
    <col min="2050" max="2050" width="12.7109375" style="4" customWidth="1"/>
    <col min="2051" max="2066" width="15.7109375" style="4" customWidth="1"/>
    <col min="2067" max="2304" width="9.140625" style="4"/>
    <col min="2305" max="2305" width="56" style="4" customWidth="1"/>
    <col min="2306" max="2306" width="12.7109375" style="4" customWidth="1"/>
    <col min="2307" max="2322" width="15.7109375" style="4" customWidth="1"/>
    <col min="2323" max="2560" width="9.140625" style="4"/>
    <col min="2561" max="2561" width="56" style="4" customWidth="1"/>
    <col min="2562" max="2562" width="12.7109375" style="4" customWidth="1"/>
    <col min="2563" max="2578" width="15.7109375" style="4" customWidth="1"/>
    <col min="2579" max="2816" width="9.140625" style="4"/>
    <col min="2817" max="2817" width="56" style="4" customWidth="1"/>
    <col min="2818" max="2818" width="12.7109375" style="4" customWidth="1"/>
    <col min="2819" max="2834" width="15.7109375" style="4" customWidth="1"/>
    <col min="2835" max="3072" width="9.140625" style="4"/>
    <col min="3073" max="3073" width="56" style="4" customWidth="1"/>
    <col min="3074" max="3074" width="12.7109375" style="4" customWidth="1"/>
    <col min="3075" max="3090" width="15.7109375" style="4" customWidth="1"/>
    <col min="3091" max="3328" width="9.140625" style="4"/>
    <col min="3329" max="3329" width="56" style="4" customWidth="1"/>
    <col min="3330" max="3330" width="12.7109375" style="4" customWidth="1"/>
    <col min="3331" max="3346" width="15.7109375" style="4" customWidth="1"/>
    <col min="3347" max="3584" width="9.140625" style="4"/>
    <col min="3585" max="3585" width="56" style="4" customWidth="1"/>
    <col min="3586" max="3586" width="12.7109375" style="4" customWidth="1"/>
    <col min="3587" max="3602" width="15.7109375" style="4" customWidth="1"/>
    <col min="3603" max="3840" width="9.140625" style="4"/>
    <col min="3841" max="3841" width="56" style="4" customWidth="1"/>
    <col min="3842" max="3842" width="12.7109375" style="4" customWidth="1"/>
    <col min="3843" max="3858" width="15.7109375" style="4" customWidth="1"/>
    <col min="3859" max="4096" width="9.140625" style="4"/>
    <col min="4097" max="4097" width="56" style="4" customWidth="1"/>
    <col min="4098" max="4098" width="12.7109375" style="4" customWidth="1"/>
    <col min="4099" max="4114" width="15.7109375" style="4" customWidth="1"/>
    <col min="4115" max="4352" width="9.140625" style="4"/>
    <col min="4353" max="4353" width="56" style="4" customWidth="1"/>
    <col min="4354" max="4354" width="12.7109375" style="4" customWidth="1"/>
    <col min="4355" max="4370" width="15.7109375" style="4" customWidth="1"/>
    <col min="4371" max="4608" width="9.140625" style="4"/>
    <col min="4609" max="4609" width="56" style="4" customWidth="1"/>
    <col min="4610" max="4610" width="12.7109375" style="4" customWidth="1"/>
    <col min="4611" max="4626" width="15.7109375" style="4" customWidth="1"/>
    <col min="4627" max="4864" width="9.140625" style="4"/>
    <col min="4865" max="4865" width="56" style="4" customWidth="1"/>
    <col min="4866" max="4866" width="12.7109375" style="4" customWidth="1"/>
    <col min="4867" max="4882" width="15.7109375" style="4" customWidth="1"/>
    <col min="4883" max="5120" width="9.140625" style="4"/>
    <col min="5121" max="5121" width="56" style="4" customWidth="1"/>
    <col min="5122" max="5122" width="12.7109375" style="4" customWidth="1"/>
    <col min="5123" max="5138" width="15.7109375" style="4" customWidth="1"/>
    <col min="5139" max="5376" width="9.140625" style="4"/>
    <col min="5377" max="5377" width="56" style="4" customWidth="1"/>
    <col min="5378" max="5378" width="12.7109375" style="4" customWidth="1"/>
    <col min="5379" max="5394" width="15.7109375" style="4" customWidth="1"/>
    <col min="5395" max="5632" width="9.140625" style="4"/>
    <col min="5633" max="5633" width="56" style="4" customWidth="1"/>
    <col min="5634" max="5634" width="12.7109375" style="4" customWidth="1"/>
    <col min="5635" max="5650" width="15.7109375" style="4" customWidth="1"/>
    <col min="5651" max="5888" width="9.140625" style="4"/>
    <col min="5889" max="5889" width="56" style="4" customWidth="1"/>
    <col min="5890" max="5890" width="12.7109375" style="4" customWidth="1"/>
    <col min="5891" max="5906" width="15.7109375" style="4" customWidth="1"/>
    <col min="5907" max="6144" width="9.140625" style="4"/>
    <col min="6145" max="6145" width="56" style="4" customWidth="1"/>
    <col min="6146" max="6146" width="12.7109375" style="4" customWidth="1"/>
    <col min="6147" max="6162" width="15.7109375" style="4" customWidth="1"/>
    <col min="6163" max="6400" width="9.140625" style="4"/>
    <col min="6401" max="6401" width="56" style="4" customWidth="1"/>
    <col min="6402" max="6402" width="12.7109375" style="4" customWidth="1"/>
    <col min="6403" max="6418" width="15.7109375" style="4" customWidth="1"/>
    <col min="6419" max="6656" width="9.140625" style="4"/>
    <col min="6657" max="6657" width="56" style="4" customWidth="1"/>
    <col min="6658" max="6658" width="12.7109375" style="4" customWidth="1"/>
    <col min="6659" max="6674" width="15.7109375" style="4" customWidth="1"/>
    <col min="6675" max="6912" width="9.140625" style="4"/>
    <col min="6913" max="6913" width="56" style="4" customWidth="1"/>
    <col min="6914" max="6914" width="12.7109375" style="4" customWidth="1"/>
    <col min="6915" max="6930" width="15.7109375" style="4" customWidth="1"/>
    <col min="6931" max="7168" width="9.140625" style="4"/>
    <col min="7169" max="7169" width="56" style="4" customWidth="1"/>
    <col min="7170" max="7170" width="12.7109375" style="4" customWidth="1"/>
    <col min="7171" max="7186" width="15.7109375" style="4" customWidth="1"/>
    <col min="7187" max="7424" width="9.140625" style="4"/>
    <col min="7425" max="7425" width="56" style="4" customWidth="1"/>
    <col min="7426" max="7426" width="12.7109375" style="4" customWidth="1"/>
    <col min="7427" max="7442" width="15.7109375" style="4" customWidth="1"/>
    <col min="7443" max="7680" width="9.140625" style="4"/>
    <col min="7681" max="7681" width="56" style="4" customWidth="1"/>
    <col min="7682" max="7682" width="12.7109375" style="4" customWidth="1"/>
    <col min="7683" max="7698" width="15.7109375" style="4" customWidth="1"/>
    <col min="7699" max="7936" width="9.140625" style="4"/>
    <col min="7937" max="7937" width="56" style="4" customWidth="1"/>
    <col min="7938" max="7938" width="12.7109375" style="4" customWidth="1"/>
    <col min="7939" max="7954" width="15.7109375" style="4" customWidth="1"/>
    <col min="7955" max="8192" width="9.140625" style="4"/>
    <col min="8193" max="8193" width="56" style="4" customWidth="1"/>
    <col min="8194" max="8194" width="12.7109375" style="4" customWidth="1"/>
    <col min="8195" max="8210" width="15.7109375" style="4" customWidth="1"/>
    <col min="8211" max="8448" width="9.140625" style="4"/>
    <col min="8449" max="8449" width="56" style="4" customWidth="1"/>
    <col min="8450" max="8450" width="12.7109375" style="4" customWidth="1"/>
    <col min="8451" max="8466" width="15.7109375" style="4" customWidth="1"/>
    <col min="8467" max="8704" width="9.140625" style="4"/>
    <col min="8705" max="8705" width="56" style="4" customWidth="1"/>
    <col min="8706" max="8706" width="12.7109375" style="4" customWidth="1"/>
    <col min="8707" max="8722" width="15.7109375" style="4" customWidth="1"/>
    <col min="8723" max="8960" width="9.140625" style="4"/>
    <col min="8961" max="8961" width="56" style="4" customWidth="1"/>
    <col min="8962" max="8962" width="12.7109375" style="4" customWidth="1"/>
    <col min="8963" max="8978" width="15.7109375" style="4" customWidth="1"/>
    <col min="8979" max="9216" width="9.140625" style="4"/>
    <col min="9217" max="9217" width="56" style="4" customWidth="1"/>
    <col min="9218" max="9218" width="12.7109375" style="4" customWidth="1"/>
    <col min="9219" max="9234" width="15.7109375" style="4" customWidth="1"/>
    <col min="9235" max="9472" width="9.140625" style="4"/>
    <col min="9473" max="9473" width="56" style="4" customWidth="1"/>
    <col min="9474" max="9474" width="12.7109375" style="4" customWidth="1"/>
    <col min="9475" max="9490" width="15.7109375" style="4" customWidth="1"/>
    <col min="9491" max="9728" width="9.140625" style="4"/>
    <col min="9729" max="9729" width="56" style="4" customWidth="1"/>
    <col min="9730" max="9730" width="12.7109375" style="4" customWidth="1"/>
    <col min="9731" max="9746" width="15.7109375" style="4" customWidth="1"/>
    <col min="9747" max="9984" width="9.140625" style="4"/>
    <col min="9985" max="9985" width="56" style="4" customWidth="1"/>
    <col min="9986" max="9986" width="12.7109375" style="4" customWidth="1"/>
    <col min="9987" max="10002" width="15.7109375" style="4" customWidth="1"/>
    <col min="10003" max="10240" width="9.140625" style="4"/>
    <col min="10241" max="10241" width="56" style="4" customWidth="1"/>
    <col min="10242" max="10242" width="12.7109375" style="4" customWidth="1"/>
    <col min="10243" max="10258" width="15.7109375" style="4" customWidth="1"/>
    <col min="10259" max="10496" width="9.140625" style="4"/>
    <col min="10497" max="10497" width="56" style="4" customWidth="1"/>
    <col min="10498" max="10498" width="12.7109375" style="4" customWidth="1"/>
    <col min="10499" max="10514" width="15.7109375" style="4" customWidth="1"/>
    <col min="10515" max="10752" width="9.140625" style="4"/>
    <col min="10753" max="10753" width="56" style="4" customWidth="1"/>
    <col min="10754" max="10754" width="12.7109375" style="4" customWidth="1"/>
    <col min="10755" max="10770" width="15.7109375" style="4" customWidth="1"/>
    <col min="10771" max="11008" width="9.140625" style="4"/>
    <col min="11009" max="11009" width="56" style="4" customWidth="1"/>
    <col min="11010" max="11010" width="12.7109375" style="4" customWidth="1"/>
    <col min="11011" max="11026" width="15.7109375" style="4" customWidth="1"/>
    <col min="11027" max="11264" width="9.140625" style="4"/>
    <col min="11265" max="11265" width="56" style="4" customWidth="1"/>
    <col min="11266" max="11266" width="12.7109375" style="4" customWidth="1"/>
    <col min="11267" max="11282" width="15.7109375" style="4" customWidth="1"/>
    <col min="11283" max="11520" width="9.140625" style="4"/>
    <col min="11521" max="11521" width="56" style="4" customWidth="1"/>
    <col min="11522" max="11522" width="12.7109375" style="4" customWidth="1"/>
    <col min="11523" max="11538" width="15.7109375" style="4" customWidth="1"/>
    <col min="11539" max="11776" width="9.140625" style="4"/>
    <col min="11777" max="11777" width="56" style="4" customWidth="1"/>
    <col min="11778" max="11778" width="12.7109375" style="4" customWidth="1"/>
    <col min="11779" max="11794" width="15.7109375" style="4" customWidth="1"/>
    <col min="11795" max="12032" width="9.140625" style="4"/>
    <col min="12033" max="12033" width="56" style="4" customWidth="1"/>
    <col min="12034" max="12034" width="12.7109375" style="4" customWidth="1"/>
    <col min="12035" max="12050" width="15.7109375" style="4" customWidth="1"/>
    <col min="12051" max="12288" width="9.140625" style="4"/>
    <col min="12289" max="12289" width="56" style="4" customWidth="1"/>
    <col min="12290" max="12290" width="12.7109375" style="4" customWidth="1"/>
    <col min="12291" max="12306" width="15.7109375" style="4" customWidth="1"/>
    <col min="12307" max="12544" width="9.140625" style="4"/>
    <col min="12545" max="12545" width="56" style="4" customWidth="1"/>
    <col min="12546" max="12546" width="12.7109375" style="4" customWidth="1"/>
    <col min="12547" max="12562" width="15.7109375" style="4" customWidth="1"/>
    <col min="12563" max="12800" width="9.140625" style="4"/>
    <col min="12801" max="12801" width="56" style="4" customWidth="1"/>
    <col min="12802" max="12802" width="12.7109375" style="4" customWidth="1"/>
    <col min="12803" max="12818" width="15.7109375" style="4" customWidth="1"/>
    <col min="12819" max="13056" width="9.140625" style="4"/>
    <col min="13057" max="13057" width="56" style="4" customWidth="1"/>
    <col min="13058" max="13058" width="12.7109375" style="4" customWidth="1"/>
    <col min="13059" max="13074" width="15.7109375" style="4" customWidth="1"/>
    <col min="13075" max="13312" width="9.140625" style="4"/>
    <col min="13313" max="13313" width="56" style="4" customWidth="1"/>
    <col min="13314" max="13314" width="12.7109375" style="4" customWidth="1"/>
    <col min="13315" max="13330" width="15.7109375" style="4" customWidth="1"/>
    <col min="13331" max="13568" width="9.140625" style="4"/>
    <col min="13569" max="13569" width="56" style="4" customWidth="1"/>
    <col min="13570" max="13570" width="12.7109375" style="4" customWidth="1"/>
    <col min="13571" max="13586" width="15.7109375" style="4" customWidth="1"/>
    <col min="13587" max="13824" width="9.140625" style="4"/>
    <col min="13825" max="13825" width="56" style="4" customWidth="1"/>
    <col min="13826" max="13826" width="12.7109375" style="4" customWidth="1"/>
    <col min="13827" max="13842" width="15.7109375" style="4" customWidth="1"/>
    <col min="13843" max="14080" width="9.140625" style="4"/>
    <col min="14081" max="14081" width="56" style="4" customWidth="1"/>
    <col min="14082" max="14082" width="12.7109375" style="4" customWidth="1"/>
    <col min="14083" max="14098" width="15.7109375" style="4" customWidth="1"/>
    <col min="14099" max="14336" width="9.140625" style="4"/>
    <col min="14337" max="14337" width="56" style="4" customWidth="1"/>
    <col min="14338" max="14338" width="12.7109375" style="4" customWidth="1"/>
    <col min="14339" max="14354" width="15.7109375" style="4" customWidth="1"/>
    <col min="14355" max="14592" width="9.140625" style="4"/>
    <col min="14593" max="14593" width="56" style="4" customWidth="1"/>
    <col min="14594" max="14594" width="12.7109375" style="4" customWidth="1"/>
    <col min="14595" max="14610" width="15.7109375" style="4" customWidth="1"/>
    <col min="14611" max="14848" width="9.140625" style="4"/>
    <col min="14849" max="14849" width="56" style="4" customWidth="1"/>
    <col min="14850" max="14850" width="12.7109375" style="4" customWidth="1"/>
    <col min="14851" max="14866" width="15.7109375" style="4" customWidth="1"/>
    <col min="14867" max="15104" width="9.140625" style="4"/>
    <col min="15105" max="15105" width="56" style="4" customWidth="1"/>
    <col min="15106" max="15106" width="12.7109375" style="4" customWidth="1"/>
    <col min="15107" max="15122" width="15.7109375" style="4" customWidth="1"/>
    <col min="15123" max="15360" width="9.140625" style="4"/>
    <col min="15361" max="15361" width="56" style="4" customWidth="1"/>
    <col min="15362" max="15362" width="12.7109375" style="4" customWidth="1"/>
    <col min="15363" max="15378" width="15.7109375" style="4" customWidth="1"/>
    <col min="15379" max="15616" width="9.140625" style="4"/>
    <col min="15617" max="15617" width="56" style="4" customWidth="1"/>
    <col min="15618" max="15618" width="12.7109375" style="4" customWidth="1"/>
    <col min="15619" max="15634" width="15.7109375" style="4" customWidth="1"/>
    <col min="15635" max="15872" width="9.140625" style="4"/>
    <col min="15873" max="15873" width="56" style="4" customWidth="1"/>
    <col min="15874" max="15874" width="12.7109375" style="4" customWidth="1"/>
    <col min="15875" max="15890" width="15.7109375" style="4" customWidth="1"/>
    <col min="15891" max="16128" width="9.140625" style="4"/>
    <col min="16129" max="16129" width="56" style="4" customWidth="1"/>
    <col min="16130" max="16130" width="12.7109375" style="4" customWidth="1"/>
    <col min="16131" max="16146" width="15.7109375" style="4" customWidth="1"/>
    <col min="16147" max="16384" width="9.140625" style="4"/>
  </cols>
  <sheetData>
    <row r="1" spans="1:19" ht="33.75" x14ac:dyDescent="0.5">
      <c r="A1" s="145" t="s">
        <v>481</v>
      </c>
      <c r="B1" s="12"/>
      <c r="C1" s="12"/>
      <c r="D1" s="12"/>
      <c r="E1" s="12"/>
      <c r="F1" s="12"/>
      <c r="G1" s="12"/>
      <c r="H1" s="12"/>
      <c r="I1" s="12"/>
      <c r="J1" s="12"/>
      <c r="K1" s="12"/>
      <c r="L1" s="12"/>
      <c r="M1" s="12"/>
      <c r="N1" s="12"/>
      <c r="O1" s="12"/>
      <c r="P1" s="12"/>
      <c r="Q1" s="12"/>
      <c r="R1" s="12"/>
      <c r="S1" s="12"/>
    </row>
    <row r="2" spans="1:19" ht="15.75" x14ac:dyDescent="0.25">
      <c r="A2" s="47" t="s">
        <v>482</v>
      </c>
      <c r="B2" s="12"/>
      <c r="C2" s="12"/>
      <c r="D2" s="12"/>
      <c r="E2" s="12"/>
      <c r="F2" s="12"/>
      <c r="G2" s="12"/>
      <c r="H2" s="12"/>
      <c r="I2" s="12"/>
      <c r="J2" s="12"/>
      <c r="K2" s="12"/>
      <c r="L2" s="12"/>
      <c r="M2" s="12"/>
      <c r="N2" s="12"/>
      <c r="O2" s="12"/>
      <c r="P2" s="12"/>
      <c r="Q2" s="12"/>
      <c r="R2" s="12"/>
      <c r="S2" s="12"/>
    </row>
    <row r="3" spans="1:19" ht="32.25" customHeight="1" x14ac:dyDescent="0.25">
      <c r="A3" s="558" t="s">
        <v>483</v>
      </c>
      <c r="B3" s="559"/>
      <c r="C3" s="559"/>
      <c r="D3" s="559"/>
      <c r="E3" s="559"/>
      <c r="F3" s="559"/>
      <c r="G3" s="559"/>
      <c r="H3" s="559"/>
      <c r="I3" s="559"/>
      <c r="J3" s="559"/>
      <c r="K3" s="559"/>
      <c r="L3" s="12"/>
      <c r="M3" s="12"/>
      <c r="N3" s="12"/>
      <c r="O3" s="12"/>
      <c r="P3" s="12"/>
      <c r="Q3" s="12"/>
      <c r="R3" s="12"/>
      <c r="S3" s="12"/>
    </row>
    <row r="4" spans="1:19" ht="18" x14ac:dyDescent="0.25">
      <c r="A4" s="28"/>
      <c r="B4" s="12"/>
      <c r="C4" s="12"/>
      <c r="D4" s="12"/>
      <c r="E4" s="12"/>
      <c r="F4" s="12"/>
      <c r="G4" s="12"/>
      <c r="H4" s="12"/>
      <c r="I4" s="12"/>
      <c r="J4" s="12"/>
      <c r="K4" s="12"/>
      <c r="L4" s="12"/>
      <c r="M4" s="12"/>
      <c r="N4" s="12"/>
      <c r="O4" s="12"/>
      <c r="P4" s="12"/>
      <c r="Q4" s="12"/>
      <c r="R4" s="12"/>
      <c r="S4" s="12"/>
    </row>
    <row r="5" spans="1:19" ht="15.75" x14ac:dyDescent="0.25">
      <c r="A5" s="47" t="s">
        <v>67</v>
      </c>
      <c r="B5" s="12"/>
      <c r="C5" s="30">
        <v>0</v>
      </c>
      <c r="D5" s="30">
        <v>1</v>
      </c>
      <c r="E5" s="30">
        <v>2</v>
      </c>
      <c r="F5" s="30">
        <v>3</v>
      </c>
      <c r="G5" s="30">
        <v>4</v>
      </c>
      <c r="H5" s="30">
        <v>5</v>
      </c>
      <c r="I5" s="30">
        <v>6</v>
      </c>
      <c r="J5" s="30">
        <v>7</v>
      </c>
      <c r="K5" s="30">
        <v>8</v>
      </c>
      <c r="L5" s="30">
        <v>9</v>
      </c>
      <c r="M5" s="30">
        <v>10</v>
      </c>
      <c r="N5" s="30">
        <v>11</v>
      </c>
      <c r="O5" s="30">
        <v>12</v>
      </c>
      <c r="P5" s="30">
        <v>13</v>
      </c>
      <c r="Q5" s="30">
        <v>14</v>
      </c>
      <c r="R5" s="30">
        <v>15</v>
      </c>
      <c r="S5" s="12"/>
    </row>
    <row r="6" spans="1:19" x14ac:dyDescent="0.25">
      <c r="A6" s="30"/>
      <c r="B6" s="12"/>
      <c r="C6" s="30"/>
      <c r="D6" s="30"/>
      <c r="E6" s="30"/>
      <c r="F6" s="30"/>
      <c r="G6" s="30"/>
      <c r="H6" s="30"/>
      <c r="I6" s="30"/>
      <c r="J6" s="30"/>
      <c r="K6" s="30"/>
      <c r="L6" s="30"/>
      <c r="M6" s="30"/>
      <c r="N6" s="30"/>
      <c r="O6" s="30"/>
      <c r="P6" s="30"/>
      <c r="Q6" s="30"/>
      <c r="R6" s="30"/>
      <c r="S6" s="12"/>
    </row>
    <row r="7" spans="1:19" ht="15.75" x14ac:dyDescent="0.25">
      <c r="A7" s="47" t="s">
        <v>484</v>
      </c>
      <c r="B7" s="12"/>
      <c r="C7" s="12"/>
      <c r="D7" s="12"/>
      <c r="E7" s="12"/>
      <c r="F7" s="12"/>
      <c r="G7" s="12"/>
      <c r="H7" s="12"/>
      <c r="I7" s="12"/>
      <c r="J7" s="12"/>
      <c r="K7" s="12"/>
      <c r="L7" s="12"/>
      <c r="M7" s="12"/>
      <c r="N7" s="12"/>
      <c r="O7" s="12"/>
      <c r="P7" s="12"/>
      <c r="Q7" s="12"/>
      <c r="R7" s="12"/>
      <c r="S7" s="12"/>
    </row>
    <row r="8" spans="1:19" x14ac:dyDescent="0.25">
      <c r="A8" s="12" t="s">
        <v>485</v>
      </c>
      <c r="B8" s="12"/>
      <c r="C8" s="57">
        <f>Exploitatieberekening!N144</f>
        <v>0</v>
      </c>
      <c r="D8" s="57">
        <f>Exploitatieberekening!O144</f>
        <v>0</v>
      </c>
      <c r="E8" s="57">
        <f>Exploitatieberekening!P144</f>
        <v>0</v>
      </c>
      <c r="F8" s="57">
        <f>Exploitatieberekening!Q144</f>
        <v>0</v>
      </c>
      <c r="G8" s="57">
        <f>Exploitatieberekening!R144</f>
        <v>0</v>
      </c>
      <c r="H8" s="57">
        <f>Exploitatieberekening!S144</f>
        <v>0</v>
      </c>
      <c r="I8" s="57">
        <f>Exploitatieberekening!T144</f>
        <v>0</v>
      </c>
      <c r="J8" s="57">
        <f>Exploitatieberekening!U144</f>
        <v>0</v>
      </c>
      <c r="K8" s="57">
        <f>Exploitatieberekening!V144</f>
        <v>0</v>
      </c>
      <c r="L8" s="57">
        <f>Exploitatieberekening!W144</f>
        <v>0</v>
      </c>
      <c r="M8" s="57">
        <f>Exploitatieberekening!X144</f>
        <v>0</v>
      </c>
      <c r="N8" s="57">
        <f>Exploitatieberekening!Y144</f>
        <v>0</v>
      </c>
      <c r="O8" s="57">
        <f>Exploitatieberekening!Z144</f>
        <v>0</v>
      </c>
      <c r="P8" s="57">
        <f>Exploitatieberekening!AA144</f>
        <v>0</v>
      </c>
      <c r="Q8" s="57">
        <f>Exploitatieberekening!AB144</f>
        <v>0</v>
      </c>
      <c r="R8" s="57">
        <f>Exploitatieberekening!AC144</f>
        <v>0</v>
      </c>
      <c r="S8" s="12"/>
    </row>
    <row r="9" spans="1:19" x14ac:dyDescent="0.25">
      <c r="A9" s="12" t="s">
        <v>486</v>
      </c>
      <c r="B9" s="146">
        <f>IF(Exploitatieberekening!B12=8,IRR(C8:K8,0%),IF(Exploitatieberekening!B12=12,IRR(C8:O8,0%),IF(Exploitatieberekening!B12=15,IRR(C8:R8,0%),)))</f>
        <v>0</v>
      </c>
      <c r="C9" s="12"/>
      <c r="D9" s="12"/>
      <c r="E9" s="12"/>
      <c r="F9" s="12"/>
      <c r="G9" s="12"/>
      <c r="H9" s="12"/>
      <c r="I9" s="12"/>
      <c r="J9" s="12"/>
      <c r="K9" s="12"/>
      <c r="L9" s="12"/>
      <c r="M9" s="12"/>
      <c r="N9" s="12"/>
      <c r="O9" s="12"/>
      <c r="P9" s="12"/>
      <c r="Q9" s="12"/>
      <c r="R9" s="12"/>
      <c r="S9" s="12"/>
    </row>
    <row r="10" spans="1:19" x14ac:dyDescent="0.25">
      <c r="A10" s="12" t="s">
        <v>487</v>
      </c>
      <c r="B10" s="30"/>
      <c r="C10" s="57">
        <f>Exploitatieberekening!N144</f>
        <v>0</v>
      </c>
      <c r="D10" s="57">
        <f>IF(Exploitatieberekening!$B$12=8,SUM($D$8:$K$8)/8,IF(Exploitatieberekening!$B$12=12,SUM($D$8:$O$8)/12,IF(Exploitatieberekening!$B$12=15,SUM($D$8:$R$8)/15,0)))</f>
        <v>0</v>
      </c>
      <c r="E10" s="57">
        <f>IF(Exploitatieberekening!$B$12=8,SUM($D$8:$K$8)/8,IF(Exploitatieberekening!$B$12=12,SUM($D$8:$O$8)/12,IF(Exploitatieberekening!$B$12=15,SUM($D$8:$R$8)/15,0)))</f>
        <v>0</v>
      </c>
      <c r="F10" s="57">
        <f>IF(Exploitatieberekening!$B$12=8,SUM($D$8:$K$8)/8,IF(Exploitatieberekening!$B$12=12,SUM($D$8:$O$8)/12,IF(Exploitatieberekening!$B$12=15,SUM($D$8:$R$8)/15,0)))</f>
        <v>0</v>
      </c>
      <c r="G10" s="57">
        <f>IF(Exploitatieberekening!$B$12=8,SUM($D$8:$K$8)/8,IF(Exploitatieberekening!$B$12=12,SUM($D$8:$O$8)/12,IF(Exploitatieberekening!$B$12=15,SUM($D$8:$R$8)/15,0)))</f>
        <v>0</v>
      </c>
      <c r="H10" s="57">
        <f>IF(Exploitatieberekening!$B$12=8,SUM($D$8:$K$8)/8,IF(Exploitatieberekening!$B$12=12,SUM($D$8:$O$8)/12,IF(Exploitatieberekening!$B$12=15,SUM($D$8:$R$8)/15,0)))</f>
        <v>0</v>
      </c>
      <c r="I10" s="57">
        <f>IF(Exploitatieberekening!$B$12=8,SUM($D$8:$K$8)/8,IF(Exploitatieberekening!$B$12=12,SUM($D$8:$O$8)/12,IF(Exploitatieberekening!$B$12=15,SUM($D$8:$R$8)/15,0)))</f>
        <v>0</v>
      </c>
      <c r="J10" s="57">
        <f>IF(Exploitatieberekening!$B$12=8,SUM($D$8:$K$8)/8,IF(Exploitatieberekening!$B$12=12,SUM($D$8:$O$8)/12,IF(Exploitatieberekening!$B$12=15,SUM($D$8:$R$8)/15,0)))</f>
        <v>0</v>
      </c>
      <c r="K10" s="57">
        <f>IF(Exploitatieberekening!$B$12=8,SUM($D$8:$K$8)/8,IF(Exploitatieberekening!$B$12=12,SUM($D$8:$O$8)/12,IF(Exploitatieberekening!$B$12=15,SUM($D$8:$R$8)/15,0)))</f>
        <v>0</v>
      </c>
      <c r="L10" s="57">
        <f>IF(Exploitatieberekening!$B$12=8,SUM($D$8:$K$8)/8,IF(Exploitatieberekening!$B$12=12,SUM($D$8:$O$8)/12,IF(Exploitatieberekening!$B$12=15,SUM($D$8:$R$8)/15,0)))</f>
        <v>0</v>
      </c>
      <c r="M10" s="57">
        <f>IF(Exploitatieberekening!$B$12=8,SUM($D$8:$K$8)/8,IF(Exploitatieberekening!$B$12=12,SUM($D$8:$O$8)/12,IF(Exploitatieberekening!$B$12=15,SUM($D$8:$R$8)/15,0)))</f>
        <v>0</v>
      </c>
      <c r="N10" s="57">
        <f>IF(Exploitatieberekening!$B$12=8,SUM($D$8:$K$8)/8,IF(Exploitatieberekening!$B$12=12,SUM($D$8:$O$8)/12,IF(Exploitatieberekening!$B$12=15,SUM($D$8:$R$8)/15,0)))</f>
        <v>0</v>
      </c>
      <c r="O10" s="57">
        <f>IF(Exploitatieberekening!$B$12=8,SUM($D$8:$K$8)/8,IF(Exploitatieberekening!$B$12=12,SUM($D$8:$O$8)/12,IF(Exploitatieberekening!$B$12=15,SUM($D$8:$R$8)/15,0)))</f>
        <v>0</v>
      </c>
      <c r="P10" s="57">
        <f>IF(Exploitatieberekening!$B$12=8,SUM($D$8:$K$8)/8,IF(Exploitatieberekening!$B$12=12,SUM($D$8:$O$8)/12,IF(Exploitatieberekening!$B$12=15,SUM($D$8:$R$8)/15,0)))</f>
        <v>0</v>
      </c>
      <c r="Q10" s="57">
        <f>IF(Exploitatieberekening!$B$12=8,SUM($D$8:$K$8)/8,IF(Exploitatieberekening!$B$12=12,SUM($D$8:$O$8)/12,IF(Exploitatieberekening!$B$12=15,SUM($D$8:$R$8)/15,0)))</f>
        <v>0</v>
      </c>
      <c r="R10" s="57">
        <f>IF(Exploitatieberekening!$B$12=8,SUM($D$8:$K$8)/8,IF(Exploitatieberekening!$B$12=12,SUM($D$8:$O$8)/12,IF(Exploitatieberekening!$B$12=15,SUM($D$8:$R$8)/15,0)))</f>
        <v>0</v>
      </c>
      <c r="S10" s="12"/>
    </row>
    <row r="11" spans="1:19" x14ac:dyDescent="0.25">
      <c r="A11" s="12" t="s">
        <v>488</v>
      </c>
      <c r="B11" s="146">
        <f>IF(Exploitatieberekening!B12=8,IRR(C10:K10,0%),IF(Exploitatieberekening!B12=12,IRR(C10:O10,0%),IF(Exploitatieberekening!B12=15,IRR(C10:R10,0%),)))</f>
        <v>0</v>
      </c>
      <c r="C11" s="12"/>
      <c r="D11" s="12"/>
      <c r="E11" s="12"/>
      <c r="F11" s="12"/>
      <c r="G11" s="12"/>
      <c r="H11" s="12"/>
      <c r="I11" s="12"/>
      <c r="J11" s="12"/>
      <c r="K11" s="12"/>
      <c r="L11" s="12"/>
      <c r="M11" s="12"/>
      <c r="N11" s="12"/>
      <c r="O11" s="12"/>
      <c r="P11" s="12"/>
      <c r="Q11" s="12"/>
      <c r="R11" s="12"/>
      <c r="S11" s="12"/>
    </row>
    <row r="12" spans="1:19" x14ac:dyDescent="0.25">
      <c r="A12" s="30"/>
      <c r="B12" s="146"/>
      <c r="C12" s="12"/>
      <c r="D12" s="12"/>
      <c r="E12" s="12"/>
      <c r="F12" s="12"/>
      <c r="G12" s="12"/>
      <c r="H12" s="12"/>
      <c r="I12" s="12"/>
      <c r="J12" s="12"/>
      <c r="K12" s="12"/>
      <c r="L12" s="12"/>
      <c r="M12" s="12"/>
      <c r="N12" s="12"/>
      <c r="O12" s="12"/>
      <c r="P12" s="12"/>
      <c r="Q12" s="12"/>
      <c r="R12" s="12"/>
      <c r="S12" s="12"/>
    </row>
    <row r="13" spans="1:19" ht="15.75" x14ac:dyDescent="0.25">
      <c r="A13" s="47" t="s">
        <v>489</v>
      </c>
      <c r="B13" s="146"/>
      <c r="C13" s="12"/>
      <c r="D13" s="12"/>
      <c r="E13" s="12"/>
      <c r="F13" s="12"/>
      <c r="G13" s="12"/>
      <c r="H13" s="12"/>
      <c r="I13" s="12"/>
      <c r="J13" s="12"/>
      <c r="K13" s="12"/>
      <c r="L13" s="12"/>
      <c r="M13" s="12"/>
      <c r="N13" s="12"/>
      <c r="O13" s="12"/>
      <c r="P13" s="12"/>
      <c r="Q13" s="12"/>
      <c r="R13" s="12"/>
      <c r="S13" s="12"/>
    </row>
    <row r="14" spans="1:19" x14ac:dyDescent="0.25">
      <c r="A14" s="12" t="s">
        <v>490</v>
      </c>
      <c r="B14" s="12"/>
      <c r="C14" s="57" t="e">
        <f>Exploitatieberekening!N149</f>
        <v>#DIV/0!</v>
      </c>
      <c r="D14" s="57">
        <f>Exploitatieberekening!O149</f>
        <v>0</v>
      </c>
      <c r="E14" s="57">
        <f>Exploitatieberekening!P149</f>
        <v>0</v>
      </c>
      <c r="F14" s="57">
        <f>Exploitatieberekening!Q149</f>
        <v>0</v>
      </c>
      <c r="G14" s="57">
        <f>Exploitatieberekening!R149</f>
        <v>0</v>
      </c>
      <c r="H14" s="57">
        <f>Exploitatieberekening!S149</f>
        <v>0</v>
      </c>
      <c r="I14" s="57">
        <f>Exploitatieberekening!T149</f>
        <v>0</v>
      </c>
      <c r="J14" s="57">
        <f>Exploitatieberekening!U149</f>
        <v>0</v>
      </c>
      <c r="K14" s="57">
        <f>Exploitatieberekening!V149</f>
        <v>0</v>
      </c>
      <c r="L14" s="57">
        <f>Exploitatieberekening!W149</f>
        <v>0</v>
      </c>
      <c r="M14" s="57">
        <f>Exploitatieberekening!X149</f>
        <v>0</v>
      </c>
      <c r="N14" s="57">
        <f>Exploitatieberekening!Y149</f>
        <v>0</v>
      </c>
      <c r="O14" s="57">
        <f>Exploitatieberekening!Z149</f>
        <v>0</v>
      </c>
      <c r="P14" s="57">
        <f>Exploitatieberekening!AA149</f>
        <v>0</v>
      </c>
      <c r="Q14" s="57">
        <f>Exploitatieberekening!AB149</f>
        <v>0</v>
      </c>
      <c r="R14" s="57">
        <f>Exploitatieberekening!AC149</f>
        <v>0</v>
      </c>
      <c r="S14" s="12"/>
    </row>
    <row r="15" spans="1:19" x14ac:dyDescent="0.25">
      <c r="A15" s="12" t="s">
        <v>486</v>
      </c>
      <c r="B15" s="146">
        <f>IF(Exploitatieberekening!B12=8,IRR(C14:K14,0%),IF(Exploitatieberekening!B12=12,IRR(C14:O14,0%),IF(Exploitatieberekening!B12=15,IRR(C14:R14,0%),)))</f>
        <v>0</v>
      </c>
      <c r="C15" s="12"/>
      <c r="D15" s="12"/>
      <c r="E15" s="12"/>
      <c r="F15" s="12"/>
      <c r="G15" s="12"/>
      <c r="H15" s="12"/>
      <c r="I15" s="12"/>
      <c r="J15" s="12"/>
      <c r="K15" s="12"/>
      <c r="L15" s="12"/>
      <c r="M15" s="12"/>
      <c r="N15" s="12"/>
      <c r="O15" s="12"/>
      <c r="P15" s="12"/>
      <c r="Q15" s="12"/>
      <c r="R15" s="12"/>
      <c r="S15" s="12"/>
    </row>
    <row r="16" spans="1:19" x14ac:dyDescent="0.25">
      <c r="A16" s="12" t="s">
        <v>491</v>
      </c>
      <c r="B16" s="12"/>
      <c r="C16" s="57" t="e">
        <f>Exploitatieberekening!N149</f>
        <v>#DIV/0!</v>
      </c>
      <c r="D16" s="57">
        <f>IF(Exploitatieberekening!$B$12=8,SUM($D$14:$K$14)/8,IF(Exploitatieberekening!$B$12=12,SUM($D$14:$O$14)/12,IF(Exploitatieberekening!$B$12=15,SUM($D$14:$R$14)/15,0)))</f>
        <v>0</v>
      </c>
      <c r="E16" s="57">
        <f>IF(Exploitatieberekening!$B$12=8,SUM($D$14:$K$14)/8,IF(Exploitatieberekening!$B$12=12,SUM($D$14:$O$14)/12,IF(Exploitatieberekening!$B$12=15,SUM($D$14:$R$14)/15,0)))</f>
        <v>0</v>
      </c>
      <c r="F16" s="57">
        <f>IF(Exploitatieberekening!$B$12=8,SUM($D$14:$K$14)/8,IF(Exploitatieberekening!$B$12=12,SUM($D$14:$O$14)/12,IF(Exploitatieberekening!$B$12=15,SUM($D$14:$R$14)/15,0)))</f>
        <v>0</v>
      </c>
      <c r="G16" s="57">
        <f>IF(Exploitatieberekening!$B$12=8,SUM($D$14:$K$14)/8,IF(Exploitatieberekening!$B$12=12,SUM($D$14:$O$14)/12,IF(Exploitatieberekening!$B$12=15,SUM($D$14:$R$14)/15,0)))</f>
        <v>0</v>
      </c>
      <c r="H16" s="57">
        <f>IF(Exploitatieberekening!$B$12=8,SUM($D$14:$K$14)/8,IF(Exploitatieberekening!$B$12=12,SUM($D$14:$O$14)/12,IF(Exploitatieberekening!$B$12=15,SUM($D$14:$R$14)/15,0)))</f>
        <v>0</v>
      </c>
      <c r="I16" s="57">
        <f>IF(Exploitatieberekening!$B$12=8,SUM($D$14:$K$14)/8,IF(Exploitatieberekening!$B$12=12,SUM($D$14:$O$14)/12,IF(Exploitatieberekening!$B$12=15,SUM($D$14:$R$14)/15,0)))</f>
        <v>0</v>
      </c>
      <c r="J16" s="57">
        <f>IF(Exploitatieberekening!$B$12=8,SUM($D$14:$K$14)/8,IF(Exploitatieberekening!$B$12=12,SUM($D$14:$O$14)/12,IF(Exploitatieberekening!$B$12=15,SUM($D$14:$R$14)/15,0)))</f>
        <v>0</v>
      </c>
      <c r="K16" s="57">
        <f>IF(Exploitatieberekening!$B$12=8,SUM($D$14:$K$14)/8,IF(Exploitatieberekening!$B$12=12,SUM($D$14:$O$14)/12,IF(Exploitatieberekening!$B$12=15,SUM($D$14:$R$14)/15,0)))</f>
        <v>0</v>
      </c>
      <c r="L16" s="57">
        <f>IF(Exploitatieberekening!$B$12=8,SUM($D$14:$K$14)/8,IF(Exploitatieberekening!$B$12=12,SUM($D$14:$O$14)/12,IF(Exploitatieberekening!$B$12=15,SUM($D$14:$R$14)/15,0)))</f>
        <v>0</v>
      </c>
      <c r="M16" s="57">
        <f>IF(Exploitatieberekening!$B$12=8,SUM($D$14:$K$14)/8,IF(Exploitatieberekening!$B$12=12,SUM($D$14:$O$14)/12,IF(Exploitatieberekening!$B$12=15,SUM($D$14:$R$14)/15,0)))</f>
        <v>0</v>
      </c>
      <c r="N16" s="57">
        <f>IF(Exploitatieberekening!$B$12=8,SUM($D$14:$K$14)/8,IF(Exploitatieberekening!$B$12=12,SUM($D$14:$O$14)/12,IF(Exploitatieberekening!$B$12=15,SUM($D$14:$R$14)/15,0)))</f>
        <v>0</v>
      </c>
      <c r="O16" s="57">
        <f>IF(Exploitatieberekening!$B$12=8,SUM($D$14:$K$14)/8,IF(Exploitatieberekening!$B$12=12,SUM($D$14:$O$14)/12,IF(Exploitatieberekening!$B$12=15,SUM($D$14:$R$14)/15,0)))</f>
        <v>0</v>
      </c>
      <c r="P16" s="57">
        <f>IF(Exploitatieberekening!$B$12=8,SUM($D$14:$K$14)/8,IF(Exploitatieberekening!$B$12=12,SUM($D$14:$O$14)/12,IF(Exploitatieberekening!$B$12=15,SUM($D$14:$R$14)/15,0)))</f>
        <v>0</v>
      </c>
      <c r="Q16" s="57">
        <f>IF(Exploitatieberekening!$B$12=8,SUM($D$14:$K$14)/8,IF(Exploitatieberekening!$B$12=12,SUM($D$14:$O$14)/12,IF(Exploitatieberekening!$B$12=15,SUM($D$14:$R$14)/15,0)))</f>
        <v>0</v>
      </c>
      <c r="R16" s="57">
        <f>IF(Exploitatieberekening!$B$12=8,SUM($D$14:$K$14)/8,IF(Exploitatieberekening!$B$12=12,SUM($D$14:$O$14)/12,IF(Exploitatieberekening!$B$12=15,SUM($D$14:$R$14)/15,0)))</f>
        <v>0</v>
      </c>
      <c r="S16" s="12"/>
    </row>
    <row r="17" spans="1:19" x14ac:dyDescent="0.25">
      <c r="A17" s="12" t="s">
        <v>492</v>
      </c>
      <c r="B17" s="146">
        <f>IF(Exploitatieberekening!B12=8,IRR(C16:K16,0%),IF(Exploitatieberekening!B12=12,IRR(C16:O16,0%),IF(Exploitatieberekening!B12=15,IRR(C16:R16,0%),)))</f>
        <v>0</v>
      </c>
      <c r="C17" s="12"/>
      <c r="D17" s="12"/>
      <c r="E17" s="12"/>
      <c r="F17" s="12"/>
      <c r="G17" s="12"/>
      <c r="H17" s="12"/>
      <c r="I17" s="12"/>
      <c r="J17" s="12"/>
      <c r="K17" s="12"/>
      <c r="L17" s="12"/>
      <c r="M17" s="12"/>
      <c r="N17" s="12"/>
      <c r="O17" s="12"/>
      <c r="P17" s="12"/>
      <c r="Q17" s="12"/>
      <c r="R17" s="12"/>
      <c r="S17" s="12"/>
    </row>
    <row r="18" spans="1:19" x14ac:dyDescent="0.25">
      <c r="A18" s="12"/>
      <c r="B18" s="30"/>
      <c r="C18" s="12"/>
      <c r="D18" s="12"/>
      <c r="E18" s="12"/>
      <c r="F18" s="12"/>
      <c r="G18" s="12"/>
      <c r="H18" s="12"/>
      <c r="I18" s="12"/>
      <c r="J18" s="12"/>
      <c r="K18" s="12"/>
      <c r="L18" s="12"/>
      <c r="M18" s="12"/>
      <c r="N18" s="12"/>
      <c r="O18" s="12"/>
      <c r="P18" s="12"/>
      <c r="Q18" s="12"/>
      <c r="R18" s="12"/>
      <c r="S18" s="12"/>
    </row>
    <row r="19" spans="1:19" x14ac:dyDescent="0.25">
      <c r="A19" s="12"/>
      <c r="B19" s="12"/>
      <c r="C19" s="12"/>
      <c r="D19" s="12"/>
      <c r="E19" s="12"/>
      <c r="F19" s="12"/>
      <c r="G19" s="12"/>
      <c r="H19" s="12"/>
      <c r="I19" s="12"/>
      <c r="J19" s="12"/>
      <c r="K19" s="12"/>
      <c r="L19" s="12"/>
      <c r="M19" s="12"/>
      <c r="N19" s="12"/>
      <c r="O19" s="12"/>
      <c r="P19" s="12"/>
      <c r="Q19" s="12"/>
      <c r="R19" s="12"/>
      <c r="S19" s="12"/>
    </row>
    <row r="20" spans="1:19" x14ac:dyDescent="0.25">
      <c r="A20" s="12"/>
      <c r="B20" s="12"/>
      <c r="C20" s="12"/>
      <c r="D20" s="12"/>
      <c r="E20" s="12"/>
      <c r="F20" s="12"/>
      <c r="G20" s="12"/>
      <c r="H20" s="12"/>
      <c r="I20" s="12"/>
      <c r="J20" s="12"/>
      <c r="K20" s="12"/>
      <c r="L20" s="12"/>
      <c r="M20" s="12"/>
      <c r="N20" s="12"/>
      <c r="O20" s="12"/>
      <c r="P20" s="12"/>
      <c r="Q20" s="12"/>
      <c r="R20" s="12"/>
      <c r="S20" s="12"/>
    </row>
    <row r="21" spans="1:19" x14ac:dyDescent="0.25">
      <c r="A21" s="12"/>
      <c r="B21" s="12"/>
      <c r="C21" s="12"/>
      <c r="D21" s="12"/>
      <c r="E21" s="12"/>
      <c r="F21" s="12"/>
      <c r="G21" s="12"/>
      <c r="H21" s="12"/>
      <c r="I21" s="12"/>
      <c r="J21" s="12"/>
      <c r="K21" s="12"/>
      <c r="L21" s="12"/>
      <c r="M21" s="12"/>
      <c r="N21" s="12"/>
      <c r="O21" s="12"/>
      <c r="P21" s="12"/>
      <c r="Q21" s="12"/>
      <c r="R21" s="12"/>
      <c r="S21" s="12"/>
    </row>
    <row r="22" spans="1:19" x14ac:dyDescent="0.25">
      <c r="A22" s="12"/>
      <c r="B22" s="12"/>
      <c r="C22" s="12"/>
      <c r="D22" s="12"/>
      <c r="E22" s="12"/>
      <c r="F22" s="12"/>
      <c r="G22" s="12"/>
      <c r="H22" s="12"/>
      <c r="I22" s="12"/>
      <c r="J22" s="12"/>
      <c r="K22" s="12"/>
      <c r="L22" s="12"/>
      <c r="M22" s="12"/>
      <c r="N22" s="12"/>
      <c r="O22" s="12"/>
      <c r="P22" s="12"/>
      <c r="Q22" s="12"/>
      <c r="R22" s="12"/>
      <c r="S22" s="12"/>
    </row>
    <row r="23" spans="1:19" x14ac:dyDescent="0.25">
      <c r="A23" s="12"/>
      <c r="B23" s="12"/>
      <c r="C23" s="12"/>
      <c r="D23" s="12"/>
      <c r="E23" s="12"/>
      <c r="F23" s="12"/>
      <c r="G23" s="12"/>
      <c r="H23" s="12"/>
      <c r="I23" s="12"/>
      <c r="J23" s="12"/>
      <c r="K23" s="12"/>
      <c r="L23" s="12"/>
      <c r="M23" s="12"/>
      <c r="N23" s="12"/>
      <c r="O23" s="12"/>
      <c r="P23" s="12"/>
      <c r="Q23" s="12"/>
      <c r="R23" s="12"/>
      <c r="S23" s="12"/>
    </row>
    <row r="24" spans="1:19" x14ac:dyDescent="0.25">
      <c r="A24" s="12"/>
      <c r="B24" s="12"/>
      <c r="C24" s="12"/>
      <c r="D24" s="12"/>
      <c r="E24" s="12"/>
      <c r="F24" s="12"/>
      <c r="G24" s="12"/>
      <c r="H24" s="12"/>
      <c r="I24" s="12"/>
      <c r="J24" s="12"/>
      <c r="K24" s="12"/>
      <c r="L24" s="12"/>
      <c r="M24" s="12"/>
      <c r="N24" s="12"/>
      <c r="O24" s="12"/>
      <c r="P24" s="12"/>
      <c r="Q24" s="12"/>
      <c r="R24" s="12"/>
      <c r="S24" s="12"/>
    </row>
  </sheetData>
  <mergeCells count="1">
    <mergeCell ref="A3:K3"/>
  </mergeCells>
  <pageMargins left="0.7" right="0.7" top="0.75" bottom="0.75" header="0.3" footer="0.3"/>
  <ignoredErrors>
    <ignoredError sqref="D8 B17 B15 B11 B9" evalError="1"/>
  </ignoredErrors>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9</vt:i4>
      </vt:variant>
    </vt:vector>
  </HeadingPairs>
  <TitlesOfParts>
    <vt:vector size="9" baseType="lpstr">
      <vt:lpstr>Invulinstructie_disclaimer</vt:lpstr>
      <vt:lpstr>Financiering_en_projectplan</vt:lpstr>
      <vt:lpstr>Productie_en_afzet</vt:lpstr>
      <vt:lpstr>Exploitatieberekening</vt:lpstr>
      <vt:lpstr>Overzicht bijlagen</vt:lpstr>
      <vt:lpstr>Hulpblad_categorieën_parameters</vt:lpstr>
      <vt:lpstr>PBL OT 2024</vt:lpstr>
      <vt:lpstr>Hulpblad_overig</vt:lpstr>
      <vt:lpstr>Alternat.rendementsberekening</vt:lpstr>
    </vt:vector>
  </TitlesOfParts>
  <Company>Ministerie van Economische Zaken en Klimaat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 Hoekstra</dc:creator>
  <cp:lastModifiedBy>RVO</cp:lastModifiedBy>
  <dcterms:created xsi:type="dcterms:W3CDTF">2022-04-26T18:18:30Z</dcterms:created>
  <dcterms:modified xsi:type="dcterms:W3CDTF">2024-09-13T09:25:20Z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bde8109-f994-4a60-a1d3-5c95e2ff3620_Enabled">
    <vt:lpwstr>true</vt:lpwstr>
  </property>
  <property fmtid="{D5CDD505-2E9C-101B-9397-08002B2CF9AE}" pid="3" name="MSIP_Label_4bde8109-f994-4a60-a1d3-5c95e2ff3620_SetDate">
    <vt:lpwstr>2023-01-31T14:22:23Z</vt:lpwstr>
  </property>
  <property fmtid="{D5CDD505-2E9C-101B-9397-08002B2CF9AE}" pid="4" name="MSIP_Label_4bde8109-f994-4a60-a1d3-5c95e2ff3620_Method">
    <vt:lpwstr>Privileged</vt:lpwstr>
  </property>
  <property fmtid="{D5CDD505-2E9C-101B-9397-08002B2CF9AE}" pid="5" name="MSIP_Label_4bde8109-f994-4a60-a1d3-5c95e2ff3620_Name">
    <vt:lpwstr>FLPubliek</vt:lpwstr>
  </property>
  <property fmtid="{D5CDD505-2E9C-101B-9397-08002B2CF9AE}" pid="6" name="MSIP_Label_4bde8109-f994-4a60-a1d3-5c95e2ff3620_SiteId">
    <vt:lpwstr>1321633e-f6b9-44e2-a44f-59b9d264ecb7</vt:lpwstr>
  </property>
  <property fmtid="{D5CDD505-2E9C-101B-9397-08002B2CF9AE}" pid="7" name="MSIP_Label_4bde8109-f994-4a60-a1d3-5c95e2ff3620_ActionId">
    <vt:lpwstr>794c74a3-7f6b-40a7-a737-d9bde0f657ab</vt:lpwstr>
  </property>
  <property fmtid="{D5CDD505-2E9C-101B-9397-08002B2CF9AE}" pid="8" name="MSIP_Label_4bde8109-f994-4a60-a1d3-5c95e2ff3620_ContentBits">
    <vt:lpwstr>0</vt:lpwstr>
  </property>
</Properties>
</file>