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T:\rvo\kai\Informatieproducten\Opdrachten 2024\Opmaak PDF\WIS\"/>
    </mc:Choice>
  </mc:AlternateContent>
  <xr:revisionPtr revIDLastSave="0" documentId="8_{348C8287-2CAA-4D9E-AC7D-D5CC32D7A855}" xr6:coauthVersionLast="47" xr6:coauthVersionMax="47" xr10:uidLastSave="{00000000-0000-0000-0000-000000000000}"/>
  <workbookProtection workbookAlgorithmName="SHA-512" workbookHashValue="0BoPxrqbZ7/OyMHIlBiOjSa1QbRHgXIqw3bX0vC7c4xkM1h6/LiVnU3dHt/slnt2R82s+ZG0jaJPpzBkq5J2Mg==" workbookSaltValue="yGVzCFEdzWnA8VqbM90l2g==" workbookSpinCount="100000" lockStructure="1"/>
  <bookViews>
    <workbookView xWindow="-110" yWindow="-110" windowWidth="19420" windowHeight="10420" tabRatio="760" xr2:uid="{00000000-000D-0000-FFFF-FFFF00000000}"/>
  </bookViews>
  <sheets>
    <sheet name="Voor u begint" sheetId="302" r:id="rId1"/>
    <sheet name="Toelichting begroting " sheetId="305" r:id="rId2"/>
    <sheet name="Project" sheetId="34" r:id="rId3"/>
    <sheet name="Begroting" sheetId="214" r:id="rId4"/>
    <sheet name="Overdrachtstations" sheetId="314" r:id="rId5"/>
    <sheet name="Mijlpalenbegroting" sheetId="234" r:id="rId6"/>
    <sheet name="ORT uitgangspunten" sheetId="307" r:id="rId7"/>
    <sheet name="Financiering" sheetId="93" r:id="rId8"/>
    <sheet name="Aansluitingen na looptijd" sheetId="316" r:id="rId9"/>
    <sheet name="Grafieken" sheetId="309" r:id="rId10"/>
    <sheet name="ORT aansluitingen" sheetId="308" r:id="rId11"/>
    <sheet name="ORT Berekening" sheetId="310" r:id="rId12"/>
    <sheet name="Monitoring" sheetId="188" state="hidden" r:id="rId13"/>
    <sheet name="Mijlpaal Berekening" sheetId="315" state="hidden" r:id="rId14"/>
    <sheet name="Lijsten" sheetId="235" state="hidden" r:id="rId15"/>
    <sheet name="ORT_Lijsten" sheetId="311" state="hidden" r:id="rId16"/>
    <sheet name="Waarden regeling" sheetId="312" state="hidden" r:id="rId17"/>
  </sheets>
  <definedNames>
    <definedName name="_xlnm._FilterDatabase" localSheetId="2" hidden="1">Project!$A$7:$B$7</definedName>
    <definedName name="_ftnref1" localSheetId="1">'Toelichting begroting '!$A$109</definedName>
    <definedName name="_xlnm.Print_Area" localSheetId="3">Begroting!$A$1:$J$270</definedName>
    <definedName name="_xlnm.Print_Area" localSheetId="7">Financiering!$A$1:$I$35</definedName>
    <definedName name="_xlnm.Print_Area" localSheetId="5">Mijlpalenbegroting!$B$1:$M$146</definedName>
    <definedName name="_xlnm.Print_Area" localSheetId="10">'ORT aansluitingen'!$A$1:$S$61</definedName>
    <definedName name="_xlnm.Print_Area" localSheetId="6">'ORT uitgangspunten'!$A$1:$M$55</definedName>
    <definedName name="_xlnm.Print_Area" localSheetId="2">Project!$A$1:$C$16</definedName>
    <definedName name="_xlnm.Print_Area" localSheetId="1">'Toelichting begroting '!$A$1:$Q$76</definedName>
    <definedName name="_xlnm.Print_Area" localSheetId="0">'Voor u begint'!$A$1:$P$129</definedName>
    <definedName name="_xlnm.Print_Titles" localSheetId="3">Begroting!$1:$7</definedName>
    <definedName name="_xlnm.Print_Titles" localSheetId="4">Overdrachtstations!$1:$3</definedName>
    <definedName name="Afschr_hoog">'Waarden regeling'!$C$34</definedName>
    <definedName name="Afschr_laag">'Waarden regeling'!$C$35</definedName>
    <definedName name="Bron_ZLT_kosten">'Waarden regeling'!$C$45</definedName>
    <definedName name="BTW">Lijsten!$C$3:$C$5</definedName>
    <definedName name="Cap_huur">'Waarden regeling'!$C$7</definedName>
    <definedName name="Cap_part">'Waarden regeling'!$C$8</definedName>
    <definedName name="Controleregel">'ORT aansluitingen'!$C$50</definedName>
    <definedName name="Controleregel_Cumulatief">'ORT aansluitingen'!#REF!</definedName>
    <definedName name="deelnemers">OFFSET(Project!$B$16,,,COUNTA(Project!$B$16:$B$16)+1)</definedName>
    <definedName name="Df_As">'Waarden regeling'!$C$59</definedName>
    <definedName name="Df_Gea">'Waarden regeling'!$C$58</definedName>
    <definedName name="Df_Gra">'Waarden regeling'!$C$57</definedName>
    <definedName name="Df_Os">'Waarden regeling'!$C$56</definedName>
    <definedName name="Df_Pw">'Waarden regeling'!$C$54</definedName>
    <definedName name="Df_Sw">'Waarden regeling'!$C$55</definedName>
    <definedName name="Eind_Groeperen">'ORT aansluitingen'!#REF!</definedName>
    <definedName name="Einddatum">Project!$C$12</definedName>
    <definedName name="Fase">Lijsten!$B$3:$B$17</definedName>
    <definedName name="inflatie">'Waarden regeling'!$C$22</definedName>
    <definedName name="IRR">'ORT uitgangspunten'!$G$29</definedName>
    <definedName name="K_adm">'Waarden regeling'!$C$40</definedName>
    <definedName name="Kolom_Startjaar">'ORT aansluitingen'!$U$11</definedName>
    <definedName name="Kpiek_inv">'Waarden regeling'!$C$27</definedName>
    <definedName name="Kpiek_ond">'Waarden regeling'!$C$28</definedName>
    <definedName name="Looptijd">'Waarden regeling'!$C$21</definedName>
    <definedName name="Marge_hoog">'Waarden regeling'!$C$25</definedName>
    <definedName name="Marge_laag">'Waarden regeling'!$C$26</definedName>
    <definedName name="max_investperc">'Waarden regeling'!$C$6</definedName>
    <definedName name="meettarief">'Waarden regeling'!$C$30</definedName>
    <definedName name="OH_AS">'Waarden regeling'!$C$39</definedName>
    <definedName name="Organisatietype">Lijsten!$A$3:$A$7</definedName>
    <definedName name="projectrendement">'ORT uitgangspunten'!$G$29</definedName>
    <definedName name="Rend_na_bel">'Waarden regeling'!$C$20</definedName>
    <definedName name="SrtWoning">Lijsten!$D$3:$D$7</definedName>
    <definedName name="Startdatum">Project!$B$12</definedName>
    <definedName name="Uurtarief">'Waarden regeling'!$C$14</definedName>
    <definedName name="Verm_KV">'Waarden regeling'!$C$13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307" l="1"/>
  <c r="C29" i="234"/>
  <c r="D29" i="234"/>
  <c r="R49" i="308"/>
  <c r="R48" i="308"/>
  <c r="R47" i="308"/>
  <c r="R46" i="308"/>
  <c r="R45" i="308"/>
  <c r="R44" i="308"/>
  <c r="R43" i="308"/>
  <c r="R42" i="308"/>
  <c r="R41" i="308"/>
  <c r="R40" i="308"/>
  <c r="R39" i="308"/>
  <c r="R38" i="308"/>
  <c r="R37" i="308"/>
  <c r="R36" i="308"/>
  <c r="R35" i="308"/>
  <c r="R34" i="308"/>
  <c r="R33" i="308"/>
  <c r="R32" i="308"/>
  <c r="R31" i="308"/>
  <c r="R30" i="308"/>
  <c r="R29" i="308"/>
  <c r="R28" i="308"/>
  <c r="R27" i="308"/>
  <c r="R26" i="308"/>
  <c r="R25" i="308"/>
  <c r="R24" i="308"/>
  <c r="R23" i="308"/>
  <c r="R22" i="308"/>
  <c r="R21"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D49" i="308"/>
  <c r="D48" i="308"/>
  <c r="D47" i="308"/>
  <c r="D46" i="308"/>
  <c r="D45" i="308"/>
  <c r="D44" i="308"/>
  <c r="D43" i="308"/>
  <c r="D42" i="308"/>
  <c r="D41" i="308"/>
  <c r="D40" i="308"/>
  <c r="D39" i="308"/>
  <c r="D38" i="308"/>
  <c r="D37" i="308"/>
  <c r="D36" i="308"/>
  <c r="D35" i="308"/>
  <c r="D34" i="308"/>
  <c r="D33" i="308"/>
  <c r="D32" i="308"/>
  <c r="D31" i="308"/>
  <c r="D30" i="308"/>
  <c r="D29" i="308"/>
  <c r="D28" i="308"/>
  <c r="D27" i="308"/>
  <c r="D26" i="308"/>
  <c r="D25" i="308"/>
  <c r="D24" i="308"/>
  <c r="D23" i="308"/>
  <c r="D22" i="308"/>
  <c r="D21" i="308"/>
  <c r="C49" i="308"/>
  <c r="C48" i="308"/>
  <c r="C47" i="308"/>
  <c r="C46" i="308"/>
  <c r="C45" i="308"/>
  <c r="C44" i="308"/>
  <c r="C43" i="308"/>
  <c r="C42" i="308"/>
  <c r="C41" i="308"/>
  <c r="C40" i="308"/>
  <c r="C39" i="308"/>
  <c r="C38" i="308"/>
  <c r="C37" i="308"/>
  <c r="C36" i="308"/>
  <c r="C35" i="308"/>
  <c r="C34" i="308"/>
  <c r="C33" i="308"/>
  <c r="C32" i="308"/>
  <c r="C31" i="308"/>
  <c r="C30" i="308"/>
  <c r="C29" i="308"/>
  <c r="C28" i="308"/>
  <c r="C27" i="308"/>
  <c r="C26" i="308"/>
  <c r="C25" i="308"/>
  <c r="C24" i="308"/>
  <c r="C23" i="308"/>
  <c r="C22" i="308"/>
  <c r="C21" i="308"/>
  <c r="F212" i="310"/>
  <c r="O209" i="214" a="1"/>
  <c r="O209" i="214" s="1"/>
  <c r="L209" i="214" a="1"/>
  <c r="L209" i="214" s="1"/>
  <c r="H21" i="308" l="1"/>
  <c r="G21" i="308"/>
  <c r="F21" i="308"/>
  <c r="H22" i="308"/>
  <c r="G22" i="308"/>
  <c r="F22" i="308"/>
  <c r="H23" i="308"/>
  <c r="G23" i="308"/>
  <c r="F23" i="308"/>
  <c r="H24" i="308"/>
  <c r="G24" i="308"/>
  <c r="F24" i="308"/>
  <c r="H25" i="308"/>
  <c r="G25" i="308"/>
  <c r="F25" i="308"/>
  <c r="H26" i="308"/>
  <c r="G26" i="308"/>
  <c r="F26" i="308"/>
  <c r="H27" i="308"/>
  <c r="G27" i="308"/>
  <c r="F27" i="308"/>
  <c r="H28" i="308"/>
  <c r="G28" i="308"/>
  <c r="F28" i="308"/>
  <c r="H29" i="308"/>
  <c r="G29" i="308"/>
  <c r="F29" i="308"/>
  <c r="H30" i="308"/>
  <c r="G30" i="308"/>
  <c r="F30" i="308"/>
  <c r="H31" i="308"/>
  <c r="G31" i="308"/>
  <c r="F31" i="308"/>
  <c r="H32" i="308"/>
  <c r="G32" i="308"/>
  <c r="F32" i="308"/>
  <c r="H33" i="308"/>
  <c r="G33" i="308"/>
  <c r="F33" i="308"/>
  <c r="H34" i="308"/>
  <c r="G34" i="308"/>
  <c r="F34" i="308"/>
  <c r="H35" i="308"/>
  <c r="G35" i="308"/>
  <c r="F35" i="308"/>
  <c r="H36" i="308"/>
  <c r="G36" i="308"/>
  <c r="F36" i="308"/>
  <c r="H37" i="308"/>
  <c r="G37" i="308"/>
  <c r="F37" i="308"/>
  <c r="H38" i="308"/>
  <c r="G38" i="308"/>
  <c r="F38" i="308"/>
  <c r="H39" i="308"/>
  <c r="G39" i="308"/>
  <c r="F39" i="308"/>
  <c r="H40" i="308"/>
  <c r="G40" i="308"/>
  <c r="F40" i="308"/>
  <c r="H41" i="308"/>
  <c r="G41" i="308"/>
  <c r="F41" i="308"/>
  <c r="H42" i="308"/>
  <c r="G42" i="308"/>
  <c r="F42" i="308"/>
  <c r="H43" i="308"/>
  <c r="G43" i="308"/>
  <c r="F43" i="308"/>
  <c r="H44" i="308"/>
  <c r="G44" i="308"/>
  <c r="F44" i="308"/>
  <c r="H45" i="308"/>
  <c r="G45" i="308"/>
  <c r="F45" i="308"/>
  <c r="H46" i="308"/>
  <c r="G46" i="308"/>
  <c r="F46" i="308"/>
  <c r="H47" i="308"/>
  <c r="G47" i="308"/>
  <c r="F47" i="308"/>
  <c r="H48" i="308"/>
  <c r="G48" i="308"/>
  <c r="F48" i="308"/>
  <c r="H49" i="308"/>
  <c r="G49" i="308"/>
  <c r="F49" i="308"/>
  <c r="Q209" i="214"/>
  <c r="J12" i="316"/>
  <c r="Q194" i="214"/>
  <c r="Q205" i="214" s="1"/>
  <c r="G202" i="214"/>
  <c r="J135" i="310"/>
  <c r="J15" i="316"/>
  <c r="J14" i="316"/>
  <c r="I16" i="316"/>
  <c r="H16" i="316"/>
  <c r="G16" i="316"/>
  <c r="F16" i="316"/>
  <c r="E16" i="316"/>
  <c r="H23" i="214"/>
  <c r="H22" i="214"/>
  <c r="H21" i="214"/>
  <c r="H20" i="214"/>
  <c r="H19" i="214"/>
  <c r="H18" i="214"/>
  <c r="J16" i="316" l="1"/>
  <c r="E10" i="316"/>
  <c r="J11" i="316"/>
  <c r="F229" i="310"/>
  <c r="F10" i="316" l="1"/>
  <c r="G10" i="316" s="1"/>
  <c r="H10" i="316" s="1"/>
  <c r="I10" i="316" s="1"/>
  <c r="I13" i="316"/>
  <c r="H13" i="316"/>
  <c r="G13" i="316"/>
  <c r="F13" i="316"/>
  <c r="E13" i="316"/>
  <c r="C17" i="314"/>
  <c r="H13" i="314"/>
  <c r="I93" i="214"/>
  <c r="I94" i="214"/>
  <c r="I95" i="214"/>
  <c r="I96" i="214"/>
  <c r="I97" i="214"/>
  <c r="I98" i="214"/>
  <c r="I99" i="214"/>
  <c r="I100" i="214"/>
  <c r="I101" i="214"/>
  <c r="I102" i="214"/>
  <c r="I103" i="214"/>
  <c r="I104" i="214"/>
  <c r="I105" i="214"/>
  <c r="I106" i="214"/>
  <c r="I107" i="214"/>
  <c r="I108" i="214"/>
  <c r="G93" i="214"/>
  <c r="G94" i="214"/>
  <c r="G95" i="214"/>
  <c r="G96" i="214"/>
  <c r="G97" i="214"/>
  <c r="G98" i="214"/>
  <c r="G99" i="214"/>
  <c r="G100" i="214"/>
  <c r="G101" i="214"/>
  <c r="G102" i="214"/>
  <c r="G103" i="214"/>
  <c r="G104" i="214"/>
  <c r="G105" i="214"/>
  <c r="G106" i="214"/>
  <c r="G107" i="214"/>
  <c r="G108" i="214"/>
  <c r="O93" i="214"/>
  <c r="O94" i="214"/>
  <c r="O95" i="214"/>
  <c r="O96" i="214"/>
  <c r="O97" i="214"/>
  <c r="O98" i="214"/>
  <c r="O99" i="214"/>
  <c r="O100" i="214"/>
  <c r="O101" i="214"/>
  <c r="O102" i="214"/>
  <c r="O103" i="214"/>
  <c r="O104" i="214"/>
  <c r="O105" i="214"/>
  <c r="O106" i="214"/>
  <c r="O107" i="214"/>
  <c r="O108" i="214"/>
  <c r="N93" i="214"/>
  <c r="N94" i="214"/>
  <c r="N95" i="214"/>
  <c r="N96" i="214"/>
  <c r="N97" i="214"/>
  <c r="N98" i="214"/>
  <c r="N99" i="214"/>
  <c r="N100" i="214"/>
  <c r="N101" i="214"/>
  <c r="N102" i="214"/>
  <c r="N103" i="214"/>
  <c r="N104" i="214"/>
  <c r="N105" i="214"/>
  <c r="N106" i="214"/>
  <c r="N107" i="214"/>
  <c r="N108" i="214"/>
  <c r="Q93" i="214"/>
  <c r="Q94" i="214"/>
  <c r="Q95" i="214"/>
  <c r="Q96" i="214"/>
  <c r="Q97" i="214"/>
  <c r="Q98" i="214"/>
  <c r="Q99" i="214"/>
  <c r="Q100" i="214"/>
  <c r="Q101" i="214"/>
  <c r="Q102" i="214"/>
  <c r="Q103" i="214"/>
  <c r="Q104" i="214"/>
  <c r="Q105" i="214"/>
  <c r="Q106" i="214"/>
  <c r="Q107" i="214"/>
  <c r="Q108" i="214"/>
  <c r="P93" i="214"/>
  <c r="P94" i="214"/>
  <c r="P95" i="214"/>
  <c r="P96" i="214"/>
  <c r="P97" i="214"/>
  <c r="P98" i="214"/>
  <c r="P99" i="214"/>
  <c r="P100" i="214"/>
  <c r="P101" i="214"/>
  <c r="P102" i="214"/>
  <c r="P103" i="214"/>
  <c r="P104" i="214"/>
  <c r="P105" i="214"/>
  <c r="P106" i="214"/>
  <c r="P107" i="214"/>
  <c r="P108" i="214"/>
  <c r="M13" i="314"/>
  <c r="Q116" i="214"/>
  <c r="Q117" i="214"/>
  <c r="Q118" i="214"/>
  <c r="Q119" i="214"/>
  <c r="Q120" i="214"/>
  <c r="Q121" i="214"/>
  <c r="Q122" i="214"/>
  <c r="Q123" i="214"/>
  <c r="Q124" i="214"/>
  <c r="Q125" i="214"/>
  <c r="Q126" i="214"/>
  <c r="Q127" i="214"/>
  <c r="Q128" i="214"/>
  <c r="Q129" i="214"/>
  <c r="Q130" i="214"/>
  <c r="Q131" i="214"/>
  <c r="Q132" i="214"/>
  <c r="Q133" i="214"/>
  <c r="Q134" i="214"/>
  <c r="Q135" i="214"/>
  <c r="Q136" i="214"/>
  <c r="Q137" i="214"/>
  <c r="Q138" i="214"/>
  <c r="Q139" i="214"/>
  <c r="Q140" i="214"/>
  <c r="Q141" i="214"/>
  <c r="Q142" i="214"/>
  <c r="Q143" i="214"/>
  <c r="Q144" i="214"/>
  <c r="E9" i="214"/>
  <c r="J13" i="316" l="1"/>
  <c r="F26" i="305"/>
  <c r="F25" i="305"/>
  <c r="E83" i="310"/>
  <c r="F145" i="214" a="1"/>
  <c r="F145" i="214"/>
  <c r="E68" i="310"/>
  <c r="A13" i="93"/>
  <c r="C27" i="314"/>
  <c r="F83" i="310" l="1"/>
  <c r="G145" i="214"/>
  <c r="E180" i="310"/>
  <c r="E178" i="310"/>
  <c r="E82" i="310"/>
  <c r="E86" i="310"/>
  <c r="B28" i="234"/>
  <c r="C24" i="234"/>
  <c r="Q173" i="214"/>
  <c r="F146" i="214" a="1"/>
  <c r="F146" i="214"/>
  <c r="G146" i="214" s="1"/>
  <c r="Q115" i="214"/>
  <c r="D145" i="214"/>
  <c r="F109" i="214"/>
  <c r="D109" i="214"/>
  <c r="G109" i="214" s="1"/>
  <c r="D14" i="316" l="1"/>
  <c r="D12" i="316"/>
  <c r="G147" i="214" a="1"/>
  <c r="G147" i="214" s="1"/>
  <c r="D11" i="316"/>
  <c r="K13" i="314"/>
  <c r="L13" i="314"/>
  <c r="F86" i="310"/>
  <c r="D64" i="214"/>
  <c r="B13" i="34"/>
  <c r="O47" i="214"/>
  <c r="I47" i="214"/>
  <c r="Q18" i="214"/>
  <c r="I71" i="214"/>
  <c r="F141" i="310"/>
  <c r="F127" i="310"/>
  <c r="J129" i="310" s="1"/>
  <c r="F123" i="310"/>
  <c r="J125" i="310" s="1"/>
  <c r="F138" i="310"/>
  <c r="F112" i="310"/>
  <c r="I14" i="308"/>
  <c r="E221" i="310"/>
  <c r="G138" i="310"/>
  <c r="I48" i="214"/>
  <c r="G48" i="214"/>
  <c r="F30" i="305"/>
  <c r="F29" i="305"/>
  <c r="F28" i="305"/>
  <c r="F27" i="305"/>
  <c r="O208" i="214"/>
  <c r="P209" i="214"/>
  <c r="M209" i="214"/>
  <c r="E79" i="310"/>
  <c r="E72" i="310"/>
  <c r="E76" i="310"/>
  <c r="E69" i="310"/>
  <c r="E49" i="310"/>
  <c r="E30" i="310"/>
  <c r="E11" i="310"/>
  <c r="H14" i="314"/>
  <c r="H15" i="314"/>
  <c r="H16" i="314"/>
  <c r="H17" i="314"/>
  <c r="H18" i="314"/>
  <c r="H19" i="314"/>
  <c r="H20" i="314"/>
  <c r="H21" i="314"/>
  <c r="H22" i="314"/>
  <c r="H23" i="314"/>
  <c r="H24" i="314"/>
  <c r="H25" i="314"/>
  <c r="H26" i="314"/>
  <c r="H27" i="314"/>
  <c r="F152" i="310"/>
  <c r="C14" i="314"/>
  <c r="E14" i="314" s="1"/>
  <c r="C15" i="314"/>
  <c r="E15" i="314" s="1"/>
  <c r="C16" i="314"/>
  <c r="E16" i="314" s="1"/>
  <c r="E17" i="314"/>
  <c r="C18" i="314"/>
  <c r="E18" i="314" s="1"/>
  <c r="C19" i="314"/>
  <c r="E19" i="314" s="1"/>
  <c r="C20" i="314"/>
  <c r="E20" i="314" s="1"/>
  <c r="C21" i="314"/>
  <c r="E21" i="314" s="1"/>
  <c r="C22" i="314"/>
  <c r="E22" i="314" s="1"/>
  <c r="C23" i="314"/>
  <c r="E23" i="314" s="1"/>
  <c r="C24" i="314"/>
  <c r="E24" i="314" s="1"/>
  <c r="C25" i="314"/>
  <c r="E25" i="314" s="1"/>
  <c r="C26" i="314"/>
  <c r="E26" i="314" s="1"/>
  <c r="E27" i="314"/>
  <c r="C13" i="314"/>
  <c r="E13" i="314" s="1"/>
  <c r="B14" i="314"/>
  <c r="B15" i="314"/>
  <c r="B16" i="314"/>
  <c r="B17" i="314"/>
  <c r="B18" i="314"/>
  <c r="B19" i="314"/>
  <c r="B20" i="314"/>
  <c r="B21" i="314"/>
  <c r="B22" i="314"/>
  <c r="B23" i="314"/>
  <c r="B24" i="314"/>
  <c r="B25" i="314"/>
  <c r="B26" i="314"/>
  <c r="B27" i="314"/>
  <c r="M14" i="314"/>
  <c r="M15" i="314"/>
  <c r="M16" i="314"/>
  <c r="M17" i="314"/>
  <c r="M18" i="314"/>
  <c r="M19" i="314"/>
  <c r="M20" i="314"/>
  <c r="M21" i="314"/>
  <c r="M22" i="314"/>
  <c r="M23" i="314"/>
  <c r="M24" i="314"/>
  <c r="M25" i="314"/>
  <c r="M26" i="314"/>
  <c r="M27" i="314"/>
  <c r="B208" i="214"/>
  <c r="F76" i="310"/>
  <c r="F69" i="310"/>
  <c r="E173" i="310"/>
  <c r="E175" i="310"/>
  <c r="I79" i="214"/>
  <c r="B13" i="314"/>
  <c r="F1" i="314"/>
  <c r="E75" i="310"/>
  <c r="H35" i="214"/>
  <c r="H36" i="214"/>
  <c r="H37" i="214"/>
  <c r="H38" i="214"/>
  <c r="H39" i="214"/>
  <c r="H40" i="214"/>
  <c r="H24" i="214"/>
  <c r="H25" i="214"/>
  <c r="H26" i="214"/>
  <c r="H27" i="214"/>
  <c r="H28" i="214"/>
  <c r="H29" i="214"/>
  <c r="H30" i="214"/>
  <c r="H31" i="214"/>
  <c r="H32" i="214"/>
  <c r="H33" i="214"/>
  <c r="H34" i="214"/>
  <c r="G54" i="307"/>
  <c r="I59" i="307"/>
  <c r="G5" i="311"/>
  <c r="F2" i="311"/>
  <c r="E2" i="311"/>
  <c r="C4" i="311"/>
  <c r="C5" i="311"/>
  <c r="C3" i="311"/>
  <c r="F4" i="311"/>
  <c r="F3" i="311"/>
  <c r="E4" i="311"/>
  <c r="E3" i="311"/>
  <c r="D4" i="311"/>
  <c r="D5" i="311"/>
  <c r="D3" i="311"/>
  <c r="G39" i="307"/>
  <c r="G38" i="307"/>
  <c r="G65" i="307"/>
  <c r="G29" i="307"/>
  <c r="I92" i="214"/>
  <c r="I72" i="214"/>
  <c r="I73" i="214"/>
  <c r="G73" i="214" s="1"/>
  <c r="I74" i="214"/>
  <c r="I75" i="214"/>
  <c r="I76" i="214"/>
  <c r="I77" i="214"/>
  <c r="I78" i="214"/>
  <c r="I80" i="214"/>
  <c r="I81" i="214"/>
  <c r="I82" i="214"/>
  <c r="I83" i="214"/>
  <c r="I84" i="214"/>
  <c r="I85" i="214"/>
  <c r="I61" i="214"/>
  <c r="I62" i="214"/>
  <c r="I63" i="214"/>
  <c r="I49" i="214"/>
  <c r="I50" i="214"/>
  <c r="I51" i="214"/>
  <c r="I52" i="214"/>
  <c r="I53" i="214"/>
  <c r="I54" i="214"/>
  <c r="I55" i="214"/>
  <c r="I56" i="214"/>
  <c r="I57" i="214"/>
  <c r="I58" i="214"/>
  <c r="I59" i="214"/>
  <c r="I60" i="214"/>
  <c r="R20" i="308"/>
  <c r="C20" i="308"/>
  <c r="D20" i="308"/>
  <c r="E20" i="308"/>
  <c r="H20" i="308" s="1"/>
  <c r="H147" i="214" l="1"/>
  <c r="D15" i="316"/>
  <c r="N47" i="214"/>
  <c r="G47" i="214"/>
  <c r="P47" i="214"/>
  <c r="Q47" i="214"/>
  <c r="K27" i="314"/>
  <c r="L27" i="314" s="1"/>
  <c r="K26" i="314"/>
  <c r="L26" i="314" s="1"/>
  <c r="K25" i="314"/>
  <c r="L25" i="314" s="1"/>
  <c r="K24" i="314"/>
  <c r="L24" i="314" s="1"/>
  <c r="K23" i="314"/>
  <c r="L23" i="314" s="1"/>
  <c r="K22" i="314"/>
  <c r="L22" i="314" s="1"/>
  <c r="K21" i="314"/>
  <c r="L21" i="314" s="1"/>
  <c r="K20" i="314"/>
  <c r="L20" i="314" s="1"/>
  <c r="K19" i="314"/>
  <c r="L19" i="314" s="1"/>
  <c r="K18" i="314"/>
  <c r="L18" i="314" s="1"/>
  <c r="K17" i="314"/>
  <c r="L17" i="314" s="1"/>
  <c r="K16" i="314"/>
  <c r="L16" i="314" s="1"/>
  <c r="K15" i="314"/>
  <c r="L15" i="314" s="1"/>
  <c r="K14" i="314"/>
  <c r="L14" i="314" s="1"/>
  <c r="G20" i="308"/>
  <c r="F20" i="308"/>
  <c r="G41" i="307"/>
  <c r="D202" i="214"/>
  <c r="E36" i="307" l="1"/>
  <c r="G50" i="214"/>
  <c r="F2" i="188" l="1"/>
  <c r="G201" i="214"/>
  <c r="Q219" i="214" s="1"/>
  <c r="I13" i="308"/>
  <c r="P18" i="307" s="1"/>
  <c r="J5" i="310" s="1"/>
  <c r="P66" i="307"/>
  <c r="F9" i="310"/>
  <c r="E9" i="310"/>
  <c r="D86" i="214"/>
  <c r="J6" i="310"/>
  <c r="J193" i="310" s="1"/>
  <c r="E8" i="310"/>
  <c r="F8" i="310"/>
  <c r="J124" i="310"/>
  <c r="J128" i="310"/>
  <c r="J131" i="310"/>
  <c r="F135" i="310"/>
  <c r="G135" i="310"/>
  <c r="F136" i="310"/>
  <c r="G136" i="310"/>
  <c r="F137" i="310"/>
  <c r="G137" i="310"/>
  <c r="E144" i="310"/>
  <c r="F144" i="310"/>
  <c r="G144" i="310"/>
  <c r="E152" i="310"/>
  <c r="G152" i="310"/>
  <c r="E157" i="310"/>
  <c r="F157" i="310"/>
  <c r="G157" i="310"/>
  <c r="E168" i="310"/>
  <c r="E165" i="310"/>
  <c r="G165" i="310"/>
  <c r="E166" i="310"/>
  <c r="G166" i="310"/>
  <c r="E163" i="310"/>
  <c r="F163" i="310"/>
  <c r="J163" i="310" s="1"/>
  <c r="J170" i="310" s="1"/>
  <c r="G163" i="310"/>
  <c r="E170" i="310"/>
  <c r="E164" i="310"/>
  <c r="G164" i="310"/>
  <c r="E192" i="310"/>
  <c r="J194" i="310"/>
  <c r="J201" i="310"/>
  <c r="F208" i="310"/>
  <c r="F211" i="310"/>
  <c r="E215" i="310"/>
  <c r="E220" i="310" s="1"/>
  <c r="F215" i="310"/>
  <c r="F220" i="310" s="1"/>
  <c r="E219" i="310"/>
  <c r="F219" i="310"/>
  <c r="E222" i="310"/>
  <c r="F222" i="310"/>
  <c r="E228" i="310"/>
  <c r="F228" i="310"/>
  <c r="E229" i="310"/>
  <c r="G229" i="310"/>
  <c r="F165" i="310"/>
  <c r="F166" i="310"/>
  <c r="F164" i="310"/>
  <c r="P57" i="307"/>
  <c r="E60" i="307"/>
  <c r="Q63" i="307"/>
  <c r="R63" i="307"/>
  <c r="S63" i="307"/>
  <c r="T63" i="307"/>
  <c r="U63" i="307"/>
  <c r="V63" i="307"/>
  <c r="W63" i="307"/>
  <c r="X63" i="307"/>
  <c r="Y63" i="307"/>
  <c r="Z63" i="307"/>
  <c r="AA63" i="307"/>
  <c r="AB63" i="307"/>
  <c r="AC63" i="307"/>
  <c r="AD63" i="307"/>
  <c r="AE63" i="307"/>
  <c r="AF63" i="307"/>
  <c r="AG63" i="307"/>
  <c r="AH63" i="307"/>
  <c r="AI63" i="307"/>
  <c r="AJ63" i="307"/>
  <c r="AK63" i="307"/>
  <c r="AL63" i="307"/>
  <c r="AM63" i="307"/>
  <c r="AN63" i="307"/>
  <c r="AO63" i="307"/>
  <c r="AP63" i="307"/>
  <c r="AQ63" i="307"/>
  <c r="AR63" i="307"/>
  <c r="AS63" i="307"/>
  <c r="AT63" i="307"/>
  <c r="AU63" i="307"/>
  <c r="AU66" i="307" s="1"/>
  <c r="AV63" i="307"/>
  <c r="AV66" i="307" s="1"/>
  <c r="AW63" i="307"/>
  <c r="AW66" i="307" s="1"/>
  <c r="AX63" i="307"/>
  <c r="AX66" i="307" s="1"/>
  <c r="AY63" i="307"/>
  <c r="AY66" i="307" s="1"/>
  <c r="AZ63" i="307"/>
  <c r="AZ66" i="307" s="1"/>
  <c r="BA63" i="307"/>
  <c r="BA66" i="307" s="1"/>
  <c r="BB63" i="307"/>
  <c r="BB66" i="307" s="1"/>
  <c r="BC63" i="307"/>
  <c r="BC66" i="307" s="1"/>
  <c r="BD63" i="307"/>
  <c r="BD66" i="307" s="1"/>
  <c r="BE63" i="307"/>
  <c r="BE66" i="307" s="1"/>
  <c r="BF63" i="307"/>
  <c r="BF66" i="307" s="1"/>
  <c r="BG63" i="307"/>
  <c r="BG66" i="307" s="1"/>
  <c r="BH63" i="307"/>
  <c r="BH66" i="307" s="1"/>
  <c r="BI63" i="307"/>
  <c r="BI66" i="307" s="1"/>
  <c r="BJ63" i="307"/>
  <c r="BJ66" i="307" s="1"/>
  <c r="BK63" i="307"/>
  <c r="BK66" i="307" s="1"/>
  <c r="BL63" i="307"/>
  <c r="BL66" i="307" s="1"/>
  <c r="BM63" i="307"/>
  <c r="BM66" i="307" s="1"/>
  <c r="BN63" i="307"/>
  <c r="BN66" i="307" s="1"/>
  <c r="BO63" i="307"/>
  <c r="BO66" i="307" s="1"/>
  <c r="BP63" i="307"/>
  <c r="BP66" i="307" s="1"/>
  <c r="BQ63" i="307"/>
  <c r="BQ66" i="307" s="1"/>
  <c r="BR63" i="307"/>
  <c r="BR66" i="307" s="1"/>
  <c r="BS63" i="307"/>
  <c r="BS66" i="307" s="1"/>
  <c r="BT63" i="307"/>
  <c r="BT66" i="307" s="1"/>
  <c r="BU63" i="307"/>
  <c r="BU66" i="307" s="1"/>
  <c r="BV63" i="307"/>
  <c r="BV66" i="307" s="1"/>
  <c r="BW63" i="307"/>
  <c r="BW66" i="307" s="1"/>
  <c r="P65" i="307"/>
  <c r="Q65" i="307"/>
  <c r="R65" i="307"/>
  <c r="L8" i="310" s="1"/>
  <c r="S65" i="307"/>
  <c r="T65" i="307"/>
  <c r="U65" i="307"/>
  <c r="V65" i="307"/>
  <c r="W65" i="307"/>
  <c r="X65" i="307"/>
  <c r="Y65" i="307"/>
  <c r="Z65" i="307"/>
  <c r="AA65" i="307"/>
  <c r="AB65" i="307"/>
  <c r="AC65" i="307"/>
  <c r="AD65" i="307"/>
  <c r="AE65" i="307"/>
  <c r="AF65" i="307"/>
  <c r="AG65" i="307"/>
  <c r="AH65" i="307"/>
  <c r="AI65" i="307"/>
  <c r="AJ65" i="307"/>
  <c r="AK65" i="307"/>
  <c r="AL65" i="307"/>
  <c r="AM65" i="307"/>
  <c r="AN65" i="307"/>
  <c r="AO65" i="307"/>
  <c r="AP65" i="307"/>
  <c r="AQ65" i="307"/>
  <c r="AR65" i="307"/>
  <c r="AS65" i="307"/>
  <c r="AT65" i="307"/>
  <c r="AU65" i="307"/>
  <c r="AV65" i="307"/>
  <c r="AW65" i="307"/>
  <c r="AX65" i="307"/>
  <c r="AY65" i="307"/>
  <c r="AZ65" i="307"/>
  <c r="BA65" i="307"/>
  <c r="BB65" i="307"/>
  <c r="BC65" i="307"/>
  <c r="BD65" i="307"/>
  <c r="BE65" i="307"/>
  <c r="BF65" i="307"/>
  <c r="BG65" i="307"/>
  <c r="BH65" i="307"/>
  <c r="BI65" i="307"/>
  <c r="BJ65" i="307"/>
  <c r="BK65" i="307"/>
  <c r="BL65" i="307"/>
  <c r="BM65" i="307"/>
  <c r="BN65" i="307"/>
  <c r="BO65" i="307"/>
  <c r="BP65" i="307"/>
  <c r="BQ65" i="307"/>
  <c r="BR65" i="307"/>
  <c r="BS65" i="307"/>
  <c r="BT65" i="307"/>
  <c r="BU65" i="307"/>
  <c r="BV65" i="307"/>
  <c r="BW65" i="307"/>
  <c r="F86" i="214"/>
  <c r="F64" i="214"/>
  <c r="G64" i="214" s="1"/>
  <c r="O63" i="214"/>
  <c r="O48" i="214"/>
  <c r="O49" i="214"/>
  <c r="O50" i="214"/>
  <c r="O51" i="214"/>
  <c r="O52" i="214"/>
  <c r="O53" i="214"/>
  <c r="O54" i="214"/>
  <c r="O55" i="214"/>
  <c r="O56" i="214"/>
  <c r="O57" i="214"/>
  <c r="O58" i="214"/>
  <c r="O59" i="214"/>
  <c r="O60" i="214"/>
  <c r="O61" i="214"/>
  <c r="O62" i="214"/>
  <c r="O72" i="214"/>
  <c r="O73" i="214"/>
  <c r="O74" i="214"/>
  <c r="O75" i="214"/>
  <c r="O76" i="214"/>
  <c r="O77" i="214"/>
  <c r="O78" i="214"/>
  <c r="O79" i="214"/>
  <c r="O80" i="214"/>
  <c r="O81" i="214"/>
  <c r="O82" i="214"/>
  <c r="O83" i="214"/>
  <c r="O84" i="214"/>
  <c r="O85" i="214"/>
  <c r="O71" i="214"/>
  <c r="O92" i="214"/>
  <c r="B6" i="93"/>
  <c r="N85" i="214"/>
  <c r="N92" i="214"/>
  <c r="N75" i="214"/>
  <c r="N76" i="214"/>
  <c r="N77" i="214"/>
  <c r="G78" i="214"/>
  <c r="N79" i="214"/>
  <c r="N84" i="214"/>
  <c r="N83" i="214"/>
  <c r="N82" i="214"/>
  <c r="N81" i="214"/>
  <c r="N80" i="214"/>
  <c r="N74" i="214"/>
  <c r="N73" i="214"/>
  <c r="N72" i="214"/>
  <c r="N71" i="214"/>
  <c r="N48" i="214"/>
  <c r="G49" i="214"/>
  <c r="N50" i="214"/>
  <c r="G51" i="214"/>
  <c r="P51" i="214"/>
  <c r="N52" i="214"/>
  <c r="G53" i="214"/>
  <c r="P53" i="214"/>
  <c r="N54" i="214"/>
  <c r="G55" i="214"/>
  <c r="N56" i="214"/>
  <c r="G57" i="214"/>
  <c r="P57" i="214"/>
  <c r="G58" i="214"/>
  <c r="G59" i="214"/>
  <c r="P59" i="214"/>
  <c r="N60" i="214"/>
  <c r="G61" i="214"/>
  <c r="G62" i="214"/>
  <c r="G63" i="214"/>
  <c r="P63" i="214"/>
  <c r="F6" i="93"/>
  <c r="D6" i="93"/>
  <c r="A12" i="93" s="1"/>
  <c r="C6" i="93"/>
  <c r="A11" i="93" s="1"/>
  <c r="O2" i="188"/>
  <c r="Q217" i="214"/>
  <c r="C7" i="93" s="1"/>
  <c r="B11" i="93" s="1"/>
  <c r="E6" i="214"/>
  <c r="E7" i="214"/>
  <c r="L2" i="188"/>
  <c r="Q40" i="214"/>
  <c r="Q19" i="214"/>
  <c r="Q20" i="214"/>
  <c r="Q21" i="214"/>
  <c r="Q22" i="214"/>
  <c r="Q23" i="214"/>
  <c r="Q24" i="214"/>
  <c r="Q25" i="214"/>
  <c r="Q26" i="214"/>
  <c r="Q27" i="214"/>
  <c r="Q28" i="214"/>
  <c r="Q29" i="214"/>
  <c r="Q30" i="214"/>
  <c r="Q31" i="214"/>
  <c r="Q32" i="214"/>
  <c r="Q33" i="214"/>
  <c r="Q34" i="214"/>
  <c r="Q35" i="214"/>
  <c r="Q36" i="214"/>
  <c r="Q37" i="214"/>
  <c r="Q38" i="214"/>
  <c r="Q39" i="214"/>
  <c r="E2" i="188"/>
  <c r="F1" i="214"/>
  <c r="D13" i="34"/>
  <c r="C3" i="234"/>
  <c r="C2" i="234"/>
  <c r="D2" i="188"/>
  <c r="C2" i="188"/>
  <c r="B2" i="188"/>
  <c r="C3" i="93"/>
  <c r="A7" i="93"/>
  <c r="C2" i="93"/>
  <c r="N58" i="214"/>
  <c r="N61" i="214"/>
  <c r="G60" i="214"/>
  <c r="G56" i="214"/>
  <c r="P56" i="214"/>
  <c r="G54" i="214"/>
  <c r="P54" i="214"/>
  <c r="G52" i="214"/>
  <c r="P52" i="214" s="1"/>
  <c r="Q48" i="214"/>
  <c r="G85" i="214"/>
  <c r="P85" i="214"/>
  <c r="G83" i="214"/>
  <c r="P83" i="214"/>
  <c r="G81" i="214"/>
  <c r="P81" i="214"/>
  <c r="G79" i="214"/>
  <c r="G77" i="214"/>
  <c r="P77" i="214"/>
  <c r="G75" i="214"/>
  <c r="P75" i="214"/>
  <c r="G84" i="214"/>
  <c r="Q84" i="214"/>
  <c r="G80" i="214"/>
  <c r="P80" i="214"/>
  <c r="G74" i="214"/>
  <c r="Q74" i="214"/>
  <c r="G72" i="214"/>
  <c r="Q72" i="214"/>
  <c r="P72" i="214"/>
  <c r="P74" i="214"/>
  <c r="P2" i="188"/>
  <c r="P79" i="214"/>
  <c r="P60" i="214"/>
  <c r="N63" i="214"/>
  <c r="N51" i="214"/>
  <c r="N55" i="214"/>
  <c r="N59" i="214"/>
  <c r="N62" i="214"/>
  <c r="Q80" i="214"/>
  <c r="N57" i="214"/>
  <c r="N53" i="214"/>
  <c r="Q53" i="214"/>
  <c r="I23" i="234" s="1"/>
  <c r="P50" i="214"/>
  <c r="P84" i="214"/>
  <c r="P48" i="214"/>
  <c r="G76" i="214"/>
  <c r="G82" i="214"/>
  <c r="G71" i="214"/>
  <c r="P73" i="214"/>
  <c r="N78" i="214"/>
  <c r="G92" i="214"/>
  <c r="P92" i="214"/>
  <c r="N49" i="214"/>
  <c r="P62" i="214"/>
  <c r="Q60" i="214"/>
  <c r="P23" i="234" s="1"/>
  <c r="Q56" i="214"/>
  <c r="L23" i="234" s="1"/>
  <c r="Q52" i="214"/>
  <c r="Q50" i="214"/>
  <c r="Q81" i="214"/>
  <c r="Q83" i="214"/>
  <c r="Q79" i="214"/>
  <c r="Q77" i="214"/>
  <c r="Q75" i="214"/>
  <c r="Q85" i="214"/>
  <c r="P61" i="214"/>
  <c r="Q61" i="214"/>
  <c r="Q23" i="234" s="1"/>
  <c r="Q78" i="214"/>
  <c r="P78" i="214"/>
  <c r="Q58" i="214"/>
  <c r="N23" i="234" s="1"/>
  <c r="P58" i="214"/>
  <c r="Q62" i="214"/>
  <c r="Q57" i="214"/>
  <c r="M23" i="234" s="1"/>
  <c r="Q71" i="214"/>
  <c r="Q54" i="214"/>
  <c r="Q59" i="214"/>
  <c r="Q51" i="214"/>
  <c r="Q63" i="214"/>
  <c r="P71" i="214"/>
  <c r="P55" i="214"/>
  <c r="Q55" i="214"/>
  <c r="K23" i="234" s="1"/>
  <c r="P49" i="214"/>
  <c r="Q49" i="214"/>
  <c r="Q82" i="214"/>
  <c r="P82" i="214"/>
  <c r="Q76" i="214"/>
  <c r="P76" i="214"/>
  <c r="Q73" i="214"/>
  <c r="Q92" i="214"/>
  <c r="E23" i="234"/>
  <c r="Q41" i="214" l="1"/>
  <c r="J185" i="310" a="1"/>
  <c r="J185" i="310" s="1"/>
  <c r="F158" i="310"/>
  <c r="U11" i="308"/>
  <c r="U14" i="308" s="1"/>
  <c r="P62" i="307"/>
  <c r="V11" i="308"/>
  <c r="Q18" i="307"/>
  <c r="U18" i="308"/>
  <c r="V18" i="308" s="1"/>
  <c r="W18" i="308" s="1"/>
  <c r="X18" i="308" s="1"/>
  <c r="Y18" i="308" s="1"/>
  <c r="Z18" i="308" s="1"/>
  <c r="AA18" i="308" s="1"/>
  <c r="AB18" i="308" s="1"/>
  <c r="AC18" i="308" s="1"/>
  <c r="AD18" i="308" s="1"/>
  <c r="AE18" i="308" s="1"/>
  <c r="AF18" i="308" s="1"/>
  <c r="AG18" i="308" s="1"/>
  <c r="AH18" i="308" s="1"/>
  <c r="AI18" i="308" s="1"/>
  <c r="AJ18" i="308" s="1"/>
  <c r="AK18" i="308" s="1"/>
  <c r="AL18" i="308" s="1"/>
  <c r="AM18" i="308" s="1"/>
  <c r="AN18" i="308" s="1"/>
  <c r="AO18" i="308" s="1"/>
  <c r="AP18" i="308" s="1"/>
  <c r="AQ18" i="308" s="1"/>
  <c r="AR18" i="308" s="1"/>
  <c r="AS18" i="308" s="1"/>
  <c r="AT18" i="308" s="1"/>
  <c r="AU18" i="308" s="1"/>
  <c r="AV18" i="308" s="1"/>
  <c r="AW18" i="308" s="1"/>
  <c r="AX18" i="308" s="1"/>
  <c r="AY18" i="308" s="1"/>
  <c r="I18" i="308"/>
  <c r="H23" i="234"/>
  <c r="J89" i="310" a="1"/>
  <c r="J89" i="310" s="1"/>
  <c r="G86" i="214"/>
  <c r="B3" i="315"/>
  <c r="M3" i="315" s="1"/>
  <c r="Q110" i="214"/>
  <c r="D23" i="234"/>
  <c r="C23" i="234"/>
  <c r="Q148" i="214"/>
  <c r="J175" i="310"/>
  <c r="J180" i="310"/>
  <c r="Q87" i="214"/>
  <c r="Q65" i="214"/>
  <c r="Q175" i="214" s="1"/>
  <c r="O23" i="234"/>
  <c r="J23" i="234"/>
  <c r="F79" i="310"/>
  <c r="F72" i="310"/>
  <c r="J9" i="310"/>
  <c r="F23" i="234"/>
  <c r="F30" i="310"/>
  <c r="G23" i="234"/>
  <c r="AN8" i="310"/>
  <c r="AM8" i="310"/>
  <c r="AL8" i="310"/>
  <c r="AK8" i="310"/>
  <c r="AJ8" i="310"/>
  <c r="AI8" i="310"/>
  <c r="AH8" i="310"/>
  <c r="AG8" i="310"/>
  <c r="AF8" i="310"/>
  <c r="AE8" i="310"/>
  <c r="AD8" i="310"/>
  <c r="AC8" i="310"/>
  <c r="AB8" i="310"/>
  <c r="AA8" i="310"/>
  <c r="Z8" i="310"/>
  <c r="Y8" i="310"/>
  <c r="X8" i="310"/>
  <c r="W8" i="310"/>
  <c r="V8" i="310"/>
  <c r="U8" i="310"/>
  <c r="T8" i="310"/>
  <c r="S8" i="310"/>
  <c r="R8" i="310"/>
  <c r="Q8" i="310"/>
  <c r="P8" i="310"/>
  <c r="O8" i="310"/>
  <c r="N8" i="310"/>
  <c r="M8" i="310"/>
  <c r="K8" i="310"/>
  <c r="J8" i="310"/>
  <c r="E7" i="93"/>
  <c r="B13" i="93" s="1"/>
  <c r="S2" i="188"/>
  <c r="F11" i="310"/>
  <c r="F49" i="310"/>
  <c r="F91" i="310"/>
  <c r="AN6" i="310"/>
  <c r="AN163" i="310" s="1"/>
  <c r="AT66" i="307"/>
  <c r="AM6" i="310"/>
  <c r="AM124" i="310" s="1"/>
  <c r="AS66" i="307"/>
  <c r="AL6" i="310"/>
  <c r="AL124" i="310" s="1"/>
  <c r="AR66" i="307"/>
  <c r="AK6" i="310"/>
  <c r="AK124" i="310" s="1"/>
  <c r="AQ66" i="307"/>
  <c r="AJ6" i="310"/>
  <c r="AJ124" i="310" s="1"/>
  <c r="AP66" i="307"/>
  <c r="AI6" i="310"/>
  <c r="AI124" i="310" s="1"/>
  <c r="AO66" i="307"/>
  <c r="AH6" i="310"/>
  <c r="AH163" i="310" s="1"/>
  <c r="AN66" i="307"/>
  <c r="AG6" i="310"/>
  <c r="AM66" i="307"/>
  <c r="AF6" i="310"/>
  <c r="AF163" i="310" s="1"/>
  <c r="AL66" i="307"/>
  <c r="AE6" i="310"/>
  <c r="AE124" i="310" s="1"/>
  <c r="AK66" i="307"/>
  <c r="AD6" i="310"/>
  <c r="AD124" i="310" s="1"/>
  <c r="AJ66" i="307"/>
  <c r="AC6" i="310"/>
  <c r="AI66" i="307"/>
  <c r="AB6" i="310"/>
  <c r="AB124" i="310" s="1"/>
  <c r="AH66" i="307"/>
  <c r="AA6" i="310"/>
  <c r="AA124" i="310" s="1"/>
  <c r="AG66" i="307"/>
  <c r="Z6" i="310"/>
  <c r="Z163" i="310" s="1"/>
  <c r="AF66" i="307"/>
  <c r="Y6" i="310"/>
  <c r="AE66" i="307"/>
  <c r="X6" i="310"/>
  <c r="X193" i="310" s="1"/>
  <c r="AD66" i="307"/>
  <c r="W6" i="310"/>
  <c r="W163" i="310" s="1"/>
  <c r="AC66" i="307"/>
  <c r="V6" i="310"/>
  <c r="V193" i="310" s="1"/>
  <c r="AB66" i="307"/>
  <c r="U6" i="310"/>
  <c r="AA66" i="307"/>
  <c r="T6" i="310"/>
  <c r="T193" i="310" s="1"/>
  <c r="Z66" i="307"/>
  <c r="S6" i="310"/>
  <c r="S163" i="310" s="1"/>
  <c r="Y66" i="307"/>
  <c r="R6" i="310"/>
  <c r="R193" i="310" s="1"/>
  <c r="X66" i="307"/>
  <c r="Q6" i="310"/>
  <c r="W66" i="307"/>
  <c r="P6" i="310"/>
  <c r="P193" i="310" s="1"/>
  <c r="V66" i="307"/>
  <c r="O6" i="310"/>
  <c r="O124" i="310" s="1"/>
  <c r="U66" i="307"/>
  <c r="N6" i="310"/>
  <c r="N193" i="310" s="1"/>
  <c r="T66" i="307"/>
  <c r="M6" i="310"/>
  <c r="S66" i="307"/>
  <c r="L6" i="310"/>
  <c r="L124" i="310" s="1"/>
  <c r="R66" i="307"/>
  <c r="K6" i="310"/>
  <c r="K124" i="310" s="1"/>
  <c r="Q66" i="307"/>
  <c r="AK163" i="310"/>
  <c r="AK193" i="310"/>
  <c r="AG124" i="310"/>
  <c r="AG163" i="310"/>
  <c r="AG193" i="310"/>
  <c r="AC124" i="310"/>
  <c r="AC163" i="310"/>
  <c r="AC193" i="310"/>
  <c r="Y124" i="310"/>
  <c r="Y163" i="310"/>
  <c r="Y193" i="310"/>
  <c r="X124" i="310"/>
  <c r="U124" i="310"/>
  <c r="U128" i="310"/>
  <c r="U163" i="310"/>
  <c r="U193" i="310"/>
  <c r="T124" i="310"/>
  <c r="T163" i="310"/>
  <c r="Q124" i="310"/>
  <c r="Q128" i="310"/>
  <c r="Q163" i="310"/>
  <c r="Q193" i="310"/>
  <c r="M124" i="310"/>
  <c r="M128" i="310"/>
  <c r="M163" i="310"/>
  <c r="M193" i="310"/>
  <c r="J18" i="308" l="1"/>
  <c r="K18" i="308" s="1"/>
  <c r="L18" i="308" s="1"/>
  <c r="M18" i="308" s="1"/>
  <c r="N18" i="308" s="1"/>
  <c r="O18" i="308" s="1"/>
  <c r="P18" i="308" s="1"/>
  <c r="J116" i="310" a="1"/>
  <c r="J116" i="310" s="1"/>
  <c r="J115" i="310" a="1"/>
  <c r="J115" i="310" s="1"/>
  <c r="P163" i="310"/>
  <c r="X163" i="310"/>
  <c r="AF193" i="310"/>
  <c r="P124" i="310"/>
  <c r="AJ193" i="310"/>
  <c r="L128" i="310"/>
  <c r="AI163" i="310"/>
  <c r="L193" i="310"/>
  <c r="AD193" i="310"/>
  <c r="AD163" i="310"/>
  <c r="AL163" i="310"/>
  <c r="AH124" i="310"/>
  <c r="Z124" i="310"/>
  <c r="AF124" i="310"/>
  <c r="N163" i="310"/>
  <c r="R163" i="310"/>
  <c r="V163" i="310"/>
  <c r="AA163" i="310"/>
  <c r="N124" i="310"/>
  <c r="R124" i="310"/>
  <c r="V124" i="310"/>
  <c r="AB193" i="310"/>
  <c r="AL193" i="310"/>
  <c r="O193" i="310"/>
  <c r="L163" i="310"/>
  <c r="N128" i="310"/>
  <c r="P128" i="310"/>
  <c r="R128" i="310"/>
  <c r="T128" i="310"/>
  <c r="V128" i="310"/>
  <c r="X128" i="310"/>
  <c r="AA193" i="310"/>
  <c r="AI193" i="310"/>
  <c r="O163" i="310"/>
  <c r="J136" i="310"/>
  <c r="S128" i="310"/>
  <c r="W128" i="310"/>
  <c r="AB163" i="310"/>
  <c r="AE193" i="310"/>
  <c r="AJ163" i="310"/>
  <c r="AM193" i="310"/>
  <c r="S193" i="310"/>
  <c r="W193" i="310"/>
  <c r="S124" i="310"/>
  <c r="W124" i="310"/>
  <c r="Z193" i="310"/>
  <c r="AE163" i="310"/>
  <c r="AH193" i="310"/>
  <c r="AM163" i="310"/>
  <c r="O128" i="310"/>
  <c r="K128" i="310"/>
  <c r="H3" i="315"/>
  <c r="B38" i="315"/>
  <c r="C3" i="315"/>
  <c r="K3" i="315"/>
  <c r="F3" i="315"/>
  <c r="B14" i="315"/>
  <c r="G3" i="315"/>
  <c r="G14" i="315" s="1"/>
  <c r="B26" i="315"/>
  <c r="I3" i="315"/>
  <c r="I14" i="315" s="1"/>
  <c r="Q3" i="315"/>
  <c r="Q14" i="315" s="1"/>
  <c r="J3" i="315"/>
  <c r="J14" i="315" s="1"/>
  <c r="P3" i="315"/>
  <c r="P14" i="315" s="1"/>
  <c r="Q57" i="307"/>
  <c r="R18" i="307"/>
  <c r="Q62" i="307"/>
  <c r="O3" i="315"/>
  <c r="D3" i="315"/>
  <c r="L3" i="315"/>
  <c r="L14" i="315" s="1"/>
  <c r="N3" i="315"/>
  <c r="N14" i="315" s="1"/>
  <c r="V14" i="308"/>
  <c r="W11" i="308"/>
  <c r="K5" i="310"/>
  <c r="K185" i="310" s="1" a="1"/>
  <c r="K185" i="310" s="1"/>
  <c r="E3" i="315"/>
  <c r="E14" i="315" s="1"/>
  <c r="B4" i="315"/>
  <c r="H4" i="315" s="1"/>
  <c r="H15" i="315" s="1"/>
  <c r="J183" i="310"/>
  <c r="K184" i="310" s="1"/>
  <c r="J158" i="310"/>
  <c r="J142" i="310"/>
  <c r="J184" i="310"/>
  <c r="J186" i="310"/>
  <c r="J152" i="310"/>
  <c r="J145" i="310"/>
  <c r="J137" i="310"/>
  <c r="O14" i="315"/>
  <c r="J181" i="310"/>
  <c r="J169" i="310"/>
  <c r="J171" i="310"/>
  <c r="J176" i="310"/>
  <c r="J179" i="310"/>
  <c r="J174" i="310"/>
  <c r="K193" i="310"/>
  <c r="K163" i="310"/>
  <c r="J138" i="310"/>
  <c r="Q198" i="214"/>
  <c r="B7" i="93"/>
  <c r="R23" i="234"/>
  <c r="M14" i="315"/>
  <c r="K9" i="310"/>
  <c r="L9" i="310"/>
  <c r="M9" i="310"/>
  <c r="N9" i="310"/>
  <c r="O9" i="310"/>
  <c r="P9" i="310"/>
  <c r="Q9" i="310"/>
  <c r="R9" i="310"/>
  <c r="S9" i="310"/>
  <c r="T9" i="310"/>
  <c r="T28" i="310" s="1"/>
  <c r="U9" i="310"/>
  <c r="U47" i="310" s="1"/>
  <c r="V9" i="310"/>
  <c r="V28" i="310" s="1"/>
  <c r="W9" i="310"/>
  <c r="W47" i="310" s="1"/>
  <c r="X9" i="310"/>
  <c r="X47" i="310" s="1"/>
  <c r="Y9" i="310"/>
  <c r="Y66" i="310" s="1"/>
  <c r="Z9" i="310"/>
  <c r="Z108" i="310" s="1"/>
  <c r="AA9" i="310"/>
  <c r="AA47" i="310" s="1"/>
  <c r="AB9" i="310"/>
  <c r="AB28" i="310" s="1"/>
  <c r="AC9" i="310"/>
  <c r="AC108" i="310" s="1"/>
  <c r="AD9" i="310"/>
  <c r="AD66" i="310" s="1"/>
  <c r="AE9" i="310"/>
  <c r="AE108" i="310" s="1"/>
  <c r="AF9" i="310"/>
  <c r="AF47" i="310" s="1"/>
  <c r="AG9" i="310"/>
  <c r="AG66" i="310" s="1"/>
  <c r="AH9" i="310"/>
  <c r="AH66" i="310" s="1"/>
  <c r="AI9" i="310"/>
  <c r="AI66" i="310" s="1"/>
  <c r="AJ9" i="310"/>
  <c r="AJ28" i="310" s="1"/>
  <c r="AK9" i="310"/>
  <c r="AK66" i="310" s="1"/>
  <c r="AL9" i="310"/>
  <c r="AL28" i="310" s="1"/>
  <c r="AM9" i="310"/>
  <c r="AM47" i="310" s="1"/>
  <c r="AN9" i="310"/>
  <c r="AN47" i="310" s="1"/>
  <c r="V66" i="310"/>
  <c r="V108" i="310"/>
  <c r="W66" i="310"/>
  <c r="AB108" i="310"/>
  <c r="AD108" i="310"/>
  <c r="AE66" i="310"/>
  <c r="AL66" i="310"/>
  <c r="AL108" i="310"/>
  <c r="AM66" i="310"/>
  <c r="AM108" i="310"/>
  <c r="AN66" i="310"/>
  <c r="V47" i="310"/>
  <c r="W28" i="310"/>
  <c r="AD28" i="310"/>
  <c r="AE47" i="310"/>
  <c r="AE28" i="310"/>
  <c r="AL47" i="310"/>
  <c r="AM28" i="310"/>
  <c r="J2" i="188"/>
  <c r="K2" i="188"/>
  <c r="I2" i="188"/>
  <c r="H2" i="188"/>
  <c r="G2" i="188"/>
  <c r="F14" i="315" l="1"/>
  <c r="K14" i="315"/>
  <c r="H14" i="315"/>
  <c r="J117" i="310"/>
  <c r="AB66" i="310"/>
  <c r="B5" i="315"/>
  <c r="K4" i="315"/>
  <c r="K15" i="315" s="1"/>
  <c r="J4" i="315"/>
  <c r="AD47" i="310"/>
  <c r="W108" i="310"/>
  <c r="K89" i="310" a="1"/>
  <c r="K89" i="310" s="1"/>
  <c r="J147" i="310"/>
  <c r="AA66" i="310"/>
  <c r="AF108" i="310"/>
  <c r="X108" i="310"/>
  <c r="AF66" i="310"/>
  <c r="X66" i="310"/>
  <c r="U66" i="310"/>
  <c r="D14" i="315"/>
  <c r="AK28" i="310"/>
  <c r="AC28" i="310"/>
  <c r="U28" i="310"/>
  <c r="T108" i="310"/>
  <c r="AJ66" i="310"/>
  <c r="AC66" i="310"/>
  <c r="AK47" i="310"/>
  <c r="AC47" i="310"/>
  <c r="AK108" i="310"/>
  <c r="T66" i="310"/>
  <c r="AB47" i="310"/>
  <c r="T47" i="310"/>
  <c r="U108" i="310"/>
  <c r="AJ47" i="310"/>
  <c r="AI28" i="310"/>
  <c r="AA28" i="310"/>
  <c r="AN108" i="310"/>
  <c r="AJ108" i="310"/>
  <c r="C14" i="315"/>
  <c r="AI47" i="310"/>
  <c r="Z28" i="310"/>
  <c r="AI108" i="310"/>
  <c r="AA108" i="310"/>
  <c r="J139" i="310"/>
  <c r="AH108" i="310"/>
  <c r="AH28" i="310"/>
  <c r="AH47" i="310"/>
  <c r="Z47" i="310"/>
  <c r="AG47" i="310"/>
  <c r="Y47" i="310"/>
  <c r="Z66" i="310"/>
  <c r="AN28" i="310"/>
  <c r="AF28" i="310"/>
  <c r="X28" i="310"/>
  <c r="AG108" i="310"/>
  <c r="Y108" i="310"/>
  <c r="AG28" i="310"/>
  <c r="Y28" i="310"/>
  <c r="F4" i="315"/>
  <c r="F15" i="315" s="1"/>
  <c r="E4" i="315"/>
  <c r="C4" i="315"/>
  <c r="K186" i="310"/>
  <c r="B39" i="315"/>
  <c r="O4" i="315"/>
  <c r="O15" i="315" s="1"/>
  <c r="N4" i="315"/>
  <c r="N15" i="315" s="1"/>
  <c r="G4" i="315"/>
  <c r="G15" i="315" s="1"/>
  <c r="B27" i="315"/>
  <c r="M4" i="315"/>
  <c r="M15" i="315" s="1"/>
  <c r="R57" i="307"/>
  <c r="S18" i="307"/>
  <c r="R62" i="307"/>
  <c r="L5" i="310"/>
  <c r="L185" i="310" s="1" a="1"/>
  <c r="L185" i="310" s="1"/>
  <c r="B15" i="315"/>
  <c r="L4" i="315"/>
  <c r="L15" i="315" s="1"/>
  <c r="D4" i="315"/>
  <c r="W14" i="308"/>
  <c r="X11" i="308"/>
  <c r="Q4" i="315"/>
  <c r="Q15" i="315" s="1"/>
  <c r="I4" i="315"/>
  <c r="I15" i="315" s="1"/>
  <c r="P4" i="315"/>
  <c r="P15" i="315" s="1"/>
  <c r="J188" i="310"/>
  <c r="J198" i="310" s="1"/>
  <c r="J219" i="310" s="1"/>
  <c r="Q208" i="214"/>
  <c r="J15" i="315"/>
  <c r="C5" i="315"/>
  <c r="D5" i="315"/>
  <c r="E5" i="315"/>
  <c r="F5" i="315"/>
  <c r="G5" i="315"/>
  <c r="H5" i="315"/>
  <c r="H16" i="315" s="1"/>
  <c r="I5" i="315"/>
  <c r="I16" i="315" s="1"/>
  <c r="J5" i="315"/>
  <c r="K5" i="315"/>
  <c r="K16" i="315" s="1"/>
  <c r="L5" i="315"/>
  <c r="L16" i="315" s="1"/>
  <c r="M5" i="315"/>
  <c r="M16" i="315" s="1"/>
  <c r="N5" i="315"/>
  <c r="N16" i="315" s="1"/>
  <c r="O5" i="315"/>
  <c r="P5" i="315"/>
  <c r="P16" i="315" s="1"/>
  <c r="Q5" i="315"/>
  <c r="Q16" i="315" s="1"/>
  <c r="B40" i="315"/>
  <c r="B28" i="315"/>
  <c r="B16" i="315"/>
  <c r="B6" i="315"/>
  <c r="M2" i="188"/>
  <c r="D16" i="315" l="1"/>
  <c r="C15" i="315"/>
  <c r="K158" i="310"/>
  <c r="K116" i="310" a="1"/>
  <c r="K116" i="310" s="1"/>
  <c r="K115" i="310" a="1"/>
  <c r="K115" i="310" s="1"/>
  <c r="K183" i="310"/>
  <c r="E15" i="315"/>
  <c r="L186" i="310"/>
  <c r="D15" i="315"/>
  <c r="L89" i="310" a="1"/>
  <c r="L89" i="310" s="1"/>
  <c r="E29" i="234"/>
  <c r="Y11" i="308"/>
  <c r="X14" i="308"/>
  <c r="S57" i="307"/>
  <c r="T18" i="307"/>
  <c r="S62" i="307"/>
  <c r="M5" i="310"/>
  <c r="M185" i="310" s="1" a="1"/>
  <c r="M185" i="310" s="1"/>
  <c r="L184" i="310"/>
  <c r="Q216" i="214"/>
  <c r="C16" i="315"/>
  <c r="G16" i="315"/>
  <c r="O16" i="315"/>
  <c r="J16" i="315"/>
  <c r="C6" i="315"/>
  <c r="D6" i="315"/>
  <c r="D17" i="315" s="1"/>
  <c r="E6" i="315"/>
  <c r="F6" i="315"/>
  <c r="G6" i="315"/>
  <c r="H6" i="315"/>
  <c r="H17" i="315" s="1"/>
  <c r="I6" i="315"/>
  <c r="I17" i="315" s="1"/>
  <c r="J6" i="315"/>
  <c r="K6" i="315"/>
  <c r="K17" i="315" s="1"/>
  <c r="L6" i="315"/>
  <c r="L17" i="315" s="1"/>
  <c r="M6" i="315"/>
  <c r="M17" i="315" s="1"/>
  <c r="N6" i="315"/>
  <c r="N17" i="315" s="1"/>
  <c r="O6" i="315"/>
  <c r="P6" i="315"/>
  <c r="P17" i="315" s="1"/>
  <c r="Q6" i="315"/>
  <c r="Q17" i="315" s="1"/>
  <c r="B41" i="315"/>
  <c r="B29" i="315"/>
  <c r="B17" i="315"/>
  <c r="B7" i="315"/>
  <c r="F16" i="315"/>
  <c r="E16" i="315"/>
  <c r="R2" i="188"/>
  <c r="J199" i="310"/>
  <c r="K117" i="310" l="1"/>
  <c r="L116" i="310" a="1"/>
  <c r="L116" i="310" s="1"/>
  <c r="L115" i="310" a="1"/>
  <c r="L115" i="310" s="1"/>
  <c r="L158" i="310"/>
  <c r="L183" i="310"/>
  <c r="F29" i="234"/>
  <c r="M89" i="310" a="1"/>
  <c r="M89" i="310" s="1"/>
  <c r="M186" i="310"/>
  <c r="Z11" i="308"/>
  <c r="Y14" i="308"/>
  <c r="T62" i="307"/>
  <c r="T57" i="307"/>
  <c r="U18" i="307"/>
  <c r="N5" i="310"/>
  <c r="N185" i="310" s="1" a="1"/>
  <c r="N185" i="310" s="1"/>
  <c r="J17" i="315"/>
  <c r="E17" i="315"/>
  <c r="C17" i="315"/>
  <c r="O17" i="315"/>
  <c r="C7" i="315"/>
  <c r="D7" i="315"/>
  <c r="D18" i="315" s="1"/>
  <c r="E7" i="315"/>
  <c r="E18" i="315" s="1"/>
  <c r="F7" i="315"/>
  <c r="G7" i="315"/>
  <c r="H7" i="315"/>
  <c r="I7" i="315"/>
  <c r="I18" i="315" s="1"/>
  <c r="J7" i="315"/>
  <c r="J18" i="315" s="1"/>
  <c r="K7" i="315"/>
  <c r="K18" i="315" s="1"/>
  <c r="L7" i="315"/>
  <c r="L18" i="315" s="1"/>
  <c r="M7" i="315"/>
  <c r="M18" i="315" s="1"/>
  <c r="N7" i="315"/>
  <c r="N18" i="315" s="1"/>
  <c r="O7" i="315"/>
  <c r="P7" i="315"/>
  <c r="P18" i="315" s="1"/>
  <c r="Q7" i="315"/>
  <c r="Q18" i="315" s="1"/>
  <c r="B42" i="315"/>
  <c r="B30" i="315"/>
  <c r="B18" i="315"/>
  <c r="B8" i="315"/>
  <c r="G17" i="315"/>
  <c r="F17" i="315"/>
  <c r="J202" i="310"/>
  <c r="J203" i="310"/>
  <c r="J213" i="310" s="1"/>
  <c r="L117" i="310" l="1"/>
  <c r="M158" i="310"/>
  <c r="M116" i="310" a="1"/>
  <c r="M116" i="310" s="1"/>
  <c r="M115" i="310" a="1"/>
  <c r="M115" i="310" s="1"/>
  <c r="M184" i="310"/>
  <c r="M183" i="310"/>
  <c r="N184" i="310" s="1"/>
  <c r="AA11" i="308"/>
  <c r="Z14" i="308"/>
  <c r="N89" i="310" a="1"/>
  <c r="N89" i="310" s="1"/>
  <c r="G29" i="234"/>
  <c r="N186" i="310"/>
  <c r="U62" i="307"/>
  <c r="U57" i="307"/>
  <c r="V18" i="307"/>
  <c r="O5" i="310"/>
  <c r="O185" i="310" s="1" a="1"/>
  <c r="O185" i="310" s="1"/>
  <c r="J204" i="310"/>
  <c r="J207" i="310" s="1"/>
  <c r="J208" i="310" s="1"/>
  <c r="J211" i="310" s="1"/>
  <c r="F18" i="315"/>
  <c r="C18" i="315"/>
  <c r="H18" i="315"/>
  <c r="O18" i="315"/>
  <c r="C8" i="315"/>
  <c r="D8" i="315"/>
  <c r="D19" i="315" s="1"/>
  <c r="E8" i="315"/>
  <c r="E19" i="315" s="1"/>
  <c r="F8" i="315"/>
  <c r="G8" i="315"/>
  <c r="H8" i="315"/>
  <c r="I8" i="315"/>
  <c r="I19" i="315" s="1"/>
  <c r="J8" i="315"/>
  <c r="J19" i="315" s="1"/>
  <c r="K8" i="315"/>
  <c r="K19" i="315" s="1"/>
  <c r="L8" i="315"/>
  <c r="L19" i="315" s="1"/>
  <c r="M8" i="315"/>
  <c r="M19" i="315" s="1"/>
  <c r="N8" i="315"/>
  <c r="N19" i="315" s="1"/>
  <c r="O8" i="315"/>
  <c r="P8" i="315"/>
  <c r="P19" i="315" s="1"/>
  <c r="Q8" i="315"/>
  <c r="B43" i="315"/>
  <c r="B31" i="315"/>
  <c r="B19" i="315"/>
  <c r="B9" i="315"/>
  <c r="G18" i="315"/>
  <c r="M117" i="310" l="1"/>
  <c r="N116" i="310" a="1"/>
  <c r="N116" i="310" s="1"/>
  <c r="N115" i="310" a="1"/>
  <c r="N115" i="310" s="1"/>
  <c r="N158" i="310"/>
  <c r="N183" i="310"/>
  <c r="O184" i="310" s="1"/>
  <c r="O89" i="310" a="1"/>
  <c r="O89" i="310" s="1"/>
  <c r="O158" i="310" s="1"/>
  <c r="H29" i="234"/>
  <c r="O186" i="310"/>
  <c r="V62" i="307"/>
  <c r="W18" i="307"/>
  <c r="V57" i="307"/>
  <c r="P5" i="310"/>
  <c r="P185" i="310" s="1" a="1"/>
  <c r="P185" i="310" s="1"/>
  <c r="AA14" i="308"/>
  <c r="AB11" i="308"/>
  <c r="J209" i="310"/>
  <c r="J212" i="310" s="1"/>
  <c r="J215" i="310" s="1"/>
  <c r="J220" i="310" s="1"/>
  <c r="J205" i="310"/>
  <c r="K201" i="310" s="1"/>
  <c r="F19" i="315"/>
  <c r="C19" i="315"/>
  <c r="Q19" i="315"/>
  <c r="O19" i="315"/>
  <c r="C9" i="315"/>
  <c r="D9" i="315"/>
  <c r="D20" i="315" s="1"/>
  <c r="E9" i="315"/>
  <c r="E20" i="315" s="1"/>
  <c r="F9" i="315"/>
  <c r="F20" i="315" s="1"/>
  <c r="G9" i="315"/>
  <c r="H9" i="315"/>
  <c r="I9" i="315"/>
  <c r="J9" i="315"/>
  <c r="K9" i="315"/>
  <c r="L9" i="315"/>
  <c r="M9" i="315"/>
  <c r="N9" i="315"/>
  <c r="O9" i="315"/>
  <c r="P9" i="315"/>
  <c r="Q9" i="315"/>
  <c r="B44" i="315"/>
  <c r="B32" i="315"/>
  <c r="B20" i="315"/>
  <c r="B10" i="315"/>
  <c r="H19" i="315"/>
  <c r="G19" i="315"/>
  <c r="P20" i="315" l="1"/>
  <c r="N20" i="315"/>
  <c r="M20" i="315"/>
  <c r="L20" i="315"/>
  <c r="K20" i="315"/>
  <c r="J20" i="315"/>
  <c r="I20" i="315"/>
  <c r="N117" i="310"/>
  <c r="O116" i="310" a="1"/>
  <c r="O116" i="310" s="1"/>
  <c r="O115" i="310" a="1"/>
  <c r="O115" i="310" s="1"/>
  <c r="O183" i="310"/>
  <c r="P184" i="310" s="1"/>
  <c r="AC11" i="308"/>
  <c r="AB14" i="308"/>
  <c r="I29" i="234"/>
  <c r="P89" i="310" a="1"/>
  <c r="P89" i="310" s="1"/>
  <c r="X18" i="307"/>
  <c r="W62" i="307"/>
  <c r="W57" i="307"/>
  <c r="Q5" i="310"/>
  <c r="Q185" i="310" s="1" a="1"/>
  <c r="Q185" i="310" s="1"/>
  <c r="H20" i="315"/>
  <c r="G20" i="315"/>
  <c r="C20" i="315"/>
  <c r="O20" i="315"/>
  <c r="C10" i="315"/>
  <c r="D10" i="315"/>
  <c r="D21" i="315" s="1"/>
  <c r="E10" i="315"/>
  <c r="E21" i="315" s="1"/>
  <c r="F10" i="315"/>
  <c r="F21" i="315" s="1"/>
  <c r="G10" i="315"/>
  <c r="G21" i="315" s="1"/>
  <c r="H10" i="315"/>
  <c r="H21" i="315" s="1"/>
  <c r="I10" i="315"/>
  <c r="I21" i="315" s="1"/>
  <c r="J10" i="315"/>
  <c r="J21" i="315" s="1"/>
  <c r="K10" i="315"/>
  <c r="K21" i="315" s="1"/>
  <c r="L10" i="315"/>
  <c r="L21" i="315" s="1"/>
  <c r="M10" i="315"/>
  <c r="M21" i="315" s="1"/>
  <c r="N10" i="315"/>
  <c r="N21" i="315" s="1"/>
  <c r="O10" i="315"/>
  <c r="P10" i="315"/>
  <c r="P21" i="315" s="1"/>
  <c r="Q10" i="315"/>
  <c r="B45" i="315"/>
  <c r="B33" i="315"/>
  <c r="B21" i="315"/>
  <c r="B11" i="315"/>
  <c r="Q20" i="315"/>
  <c r="O117" i="310" l="1"/>
  <c r="P186" i="310"/>
  <c r="P116" i="310" a="1"/>
  <c r="P116" i="310" s="1"/>
  <c r="P115" i="310" a="1"/>
  <c r="P115" i="310" s="1"/>
  <c r="P183" i="310"/>
  <c r="Q184" i="310" s="1"/>
  <c r="P158" i="310"/>
  <c r="Q89" i="310" a="1"/>
  <c r="Q89" i="310" s="1"/>
  <c r="J29" i="234"/>
  <c r="Q186" i="310"/>
  <c r="Y18" i="307"/>
  <c r="X62" i="307"/>
  <c r="X57" i="307"/>
  <c r="R5" i="310"/>
  <c r="R185" i="310" s="1" a="1"/>
  <c r="R185" i="310" s="1"/>
  <c r="AC14" i="308"/>
  <c r="AD11" i="308"/>
  <c r="O21" i="315"/>
  <c r="C21" i="315"/>
  <c r="Q21" i="315"/>
  <c r="C11" i="315"/>
  <c r="D11" i="315"/>
  <c r="D22" i="315" s="1"/>
  <c r="E11" i="315"/>
  <c r="E22" i="315" s="1"/>
  <c r="F11" i="315"/>
  <c r="F22" i="315" s="1"/>
  <c r="G11" i="315"/>
  <c r="G22" i="315" s="1"/>
  <c r="H11" i="315"/>
  <c r="H22" i="315" s="1"/>
  <c r="I11" i="315"/>
  <c r="I22" i="315" s="1"/>
  <c r="J11" i="315"/>
  <c r="J22" i="315" s="1"/>
  <c r="K11" i="315"/>
  <c r="K22" i="315" s="1"/>
  <c r="L11" i="315"/>
  <c r="L22" i="315" s="1"/>
  <c r="M11" i="315"/>
  <c r="M22" i="315" s="1"/>
  <c r="N11" i="315"/>
  <c r="N22" i="315" s="1"/>
  <c r="O11" i="315"/>
  <c r="O22" i="315" s="1"/>
  <c r="P11" i="315"/>
  <c r="P22" i="315" s="1"/>
  <c r="Q11" i="315"/>
  <c r="B46" i="315"/>
  <c r="B34" i="315"/>
  <c r="B22" i="315"/>
  <c r="B12" i="315"/>
  <c r="P117" i="310" l="1"/>
  <c r="Q183" i="310"/>
  <c r="R184" i="310" s="1"/>
  <c r="Q116" i="310" a="1"/>
  <c r="Q116" i="310" s="1"/>
  <c r="Q115" i="310" a="1"/>
  <c r="Q115" i="310" s="1"/>
  <c r="Q158" i="310"/>
  <c r="Y57" i="307"/>
  <c r="Z18" i="307"/>
  <c r="Y62" i="307"/>
  <c r="S5" i="310"/>
  <c r="S185" i="310" s="1" a="1"/>
  <c r="S185" i="310" s="1"/>
  <c r="K29" i="234"/>
  <c r="R89" i="310" a="1"/>
  <c r="R89" i="310" s="1"/>
  <c r="R186" i="310"/>
  <c r="AD14" i="308"/>
  <c r="AE11" i="308"/>
  <c r="Q22" i="315"/>
  <c r="C22" i="315"/>
  <c r="C12" i="315"/>
  <c r="D12" i="315"/>
  <c r="D23" i="315" s="1"/>
  <c r="D24" i="315" s="1"/>
  <c r="D35" i="315" s="1"/>
  <c r="D47" i="315" s="1"/>
  <c r="E12" i="315"/>
  <c r="E23" i="315" s="1"/>
  <c r="E24" i="315" s="1"/>
  <c r="E35" i="315" s="1"/>
  <c r="E47" i="315" s="1"/>
  <c r="F12" i="315"/>
  <c r="F23" i="315" s="1"/>
  <c r="F24" i="315" s="1"/>
  <c r="F34" i="315" s="1"/>
  <c r="F46" i="315" s="1"/>
  <c r="G12" i="315"/>
  <c r="G23" i="315" s="1"/>
  <c r="G24" i="315" s="1"/>
  <c r="G35" i="315" s="1"/>
  <c r="G47" i="315" s="1"/>
  <c r="H12" i="315"/>
  <c r="H23" i="315" s="1"/>
  <c r="H24" i="315" s="1"/>
  <c r="H35" i="315" s="1"/>
  <c r="H47" i="315" s="1"/>
  <c r="I12" i="315"/>
  <c r="I23" i="315" s="1"/>
  <c r="I24" i="315" s="1"/>
  <c r="I34" i="315" s="1"/>
  <c r="I46" i="315" s="1"/>
  <c r="J12" i="315"/>
  <c r="J23" i="315" s="1"/>
  <c r="J24" i="315" s="1"/>
  <c r="J35" i="315" s="1"/>
  <c r="J47" i="315" s="1"/>
  <c r="K12" i="315"/>
  <c r="K23" i="315" s="1"/>
  <c r="K24" i="315" s="1"/>
  <c r="K35" i="315" s="1"/>
  <c r="K47" i="315" s="1"/>
  <c r="L12" i="315"/>
  <c r="L23" i="315" s="1"/>
  <c r="L24" i="315" s="1"/>
  <c r="L34" i="315" s="1"/>
  <c r="L46" i="315" s="1"/>
  <c r="M12" i="315"/>
  <c r="M23" i="315" s="1"/>
  <c r="N12" i="315"/>
  <c r="N23" i="315" s="1"/>
  <c r="O12" i="315"/>
  <c r="O23" i="315" s="1"/>
  <c r="P12" i="315"/>
  <c r="P23" i="315" s="1"/>
  <c r="Q12" i="315"/>
  <c r="Q23" i="315" s="1"/>
  <c r="B47" i="315"/>
  <c r="C67" i="315" s="1" a="1"/>
  <c r="C67" i="315" s="1"/>
  <c r="B35" i="315"/>
  <c r="C50" i="315" s="1" a="1"/>
  <c r="C50" i="315" s="1"/>
  <c r="B23" i="315"/>
  <c r="Q117" i="310" l="1"/>
  <c r="R116" i="310" a="1"/>
  <c r="R116" i="310" s="1"/>
  <c r="R115" i="310" a="1"/>
  <c r="R115" i="310" s="1"/>
  <c r="G34" i="315"/>
  <c r="G46" i="315" s="1"/>
  <c r="J34" i="315"/>
  <c r="J46" i="315" s="1"/>
  <c r="R158" i="310"/>
  <c r="R183" i="310"/>
  <c r="S184" i="310" s="1"/>
  <c r="AE14" i="308"/>
  <c r="AF11" i="308"/>
  <c r="S89" i="310" a="1"/>
  <c r="S89" i="310" s="1"/>
  <c r="L29" i="234"/>
  <c r="S186" i="310"/>
  <c r="AA18" i="307"/>
  <c r="Z57" i="307"/>
  <c r="Z62" i="307"/>
  <c r="T5" i="310"/>
  <c r="T185" i="310" s="1" a="1"/>
  <c r="T185" i="310" s="1"/>
  <c r="K30" i="234"/>
  <c r="K31" i="234"/>
  <c r="I35" i="315"/>
  <c r="I47" i="315" s="1"/>
  <c r="E34" i="315"/>
  <c r="E46" i="315" s="1"/>
  <c r="F35" i="315"/>
  <c r="F47" i="315" s="1"/>
  <c r="Q24" i="315"/>
  <c r="Q32" i="315" s="1"/>
  <c r="Q44" i="315" s="1"/>
  <c r="K34" i="315"/>
  <c r="K46" i="315" s="1"/>
  <c r="L35" i="315"/>
  <c r="L47" i="315" s="1"/>
  <c r="D34" i="315"/>
  <c r="D46" i="315" s="1"/>
  <c r="H34" i="315"/>
  <c r="H46" i="315" s="1"/>
  <c r="C23" i="315"/>
  <c r="C24" i="315" s="1"/>
  <c r="C26" i="315" s="1"/>
  <c r="P24" i="315"/>
  <c r="O24" i="315"/>
  <c r="M24" i="315"/>
  <c r="L26" i="315"/>
  <c r="L27" i="315"/>
  <c r="L39" i="315" s="1"/>
  <c r="L28" i="315"/>
  <c r="L40" i="315" s="1"/>
  <c r="L29" i="315"/>
  <c r="L41" i="315" s="1"/>
  <c r="L30" i="315"/>
  <c r="L42" i="315" s="1"/>
  <c r="L31" i="315"/>
  <c r="L43" i="315" s="1"/>
  <c r="L32" i="315"/>
  <c r="L44" i="315" s="1"/>
  <c r="L33" i="315"/>
  <c r="L45" i="315" s="1"/>
  <c r="K26" i="315"/>
  <c r="K27" i="315"/>
  <c r="K39" i="315" s="1"/>
  <c r="K28" i="315"/>
  <c r="K40" i="315" s="1"/>
  <c r="K29" i="315"/>
  <c r="K41" i="315" s="1"/>
  <c r="K30" i="315"/>
  <c r="K42" i="315" s="1"/>
  <c r="K31" i="315"/>
  <c r="K43" i="315" s="1"/>
  <c r="K32" i="315"/>
  <c r="K44" i="315" s="1"/>
  <c r="K33" i="315"/>
  <c r="K45" i="315" s="1"/>
  <c r="J26" i="315"/>
  <c r="J27" i="315"/>
  <c r="J39" i="315" s="1"/>
  <c r="J28" i="315"/>
  <c r="J40" i="315" s="1"/>
  <c r="J29" i="315"/>
  <c r="J41" i="315" s="1"/>
  <c r="J30" i="315"/>
  <c r="J42" i="315" s="1"/>
  <c r="J31" i="315"/>
  <c r="J43" i="315" s="1"/>
  <c r="J32" i="315"/>
  <c r="J44" i="315" s="1"/>
  <c r="J33" i="315"/>
  <c r="J45" i="315" s="1"/>
  <c r="I26" i="315"/>
  <c r="I27" i="315"/>
  <c r="I39" i="315" s="1"/>
  <c r="I28" i="315"/>
  <c r="I40" i="315" s="1"/>
  <c r="I29" i="315"/>
  <c r="I41" i="315" s="1"/>
  <c r="I30" i="315"/>
  <c r="I42" i="315" s="1"/>
  <c r="I31" i="315"/>
  <c r="I43" i="315" s="1"/>
  <c r="I32" i="315"/>
  <c r="I44" i="315" s="1"/>
  <c r="I33" i="315"/>
  <c r="I45" i="315" s="1"/>
  <c r="H26" i="315"/>
  <c r="H27" i="315"/>
  <c r="H39" i="315" s="1"/>
  <c r="H28" i="315"/>
  <c r="H40" i="315" s="1"/>
  <c r="H29" i="315"/>
  <c r="H41" i="315" s="1"/>
  <c r="H30" i="315"/>
  <c r="H42" i="315" s="1"/>
  <c r="H31" i="315"/>
  <c r="H43" i="315" s="1"/>
  <c r="H32" i="315"/>
  <c r="H44" i="315" s="1"/>
  <c r="H33" i="315"/>
  <c r="H45" i="315" s="1"/>
  <c r="G26" i="315"/>
  <c r="G27" i="315"/>
  <c r="G39" i="315" s="1"/>
  <c r="G28" i="315"/>
  <c r="G40" i="315" s="1"/>
  <c r="G29" i="315"/>
  <c r="G41" i="315" s="1"/>
  <c r="G30" i="315"/>
  <c r="G42" i="315" s="1"/>
  <c r="G31" i="315"/>
  <c r="G43" i="315" s="1"/>
  <c r="G32" i="315"/>
  <c r="G44" i="315" s="1"/>
  <c r="G33" i="315"/>
  <c r="G45" i="315" s="1"/>
  <c r="F26" i="315"/>
  <c r="F27" i="315"/>
  <c r="F39" i="315" s="1"/>
  <c r="F28" i="315"/>
  <c r="F40" i="315" s="1"/>
  <c r="F29" i="315"/>
  <c r="F41" i="315" s="1"/>
  <c r="F30" i="315"/>
  <c r="F42" i="315" s="1"/>
  <c r="F31" i="315"/>
  <c r="F43" i="315" s="1"/>
  <c r="F32" i="315"/>
  <c r="F44" i="315" s="1"/>
  <c r="F33" i="315"/>
  <c r="F45" i="315" s="1"/>
  <c r="E26" i="315"/>
  <c r="E27" i="315"/>
  <c r="E39" i="315" s="1"/>
  <c r="E28" i="315"/>
  <c r="E40" i="315" s="1"/>
  <c r="E29" i="315"/>
  <c r="E41" i="315" s="1"/>
  <c r="E30" i="315"/>
  <c r="E42" i="315" s="1"/>
  <c r="E31" i="315"/>
  <c r="E43" i="315" s="1"/>
  <c r="E32" i="315"/>
  <c r="E44" i="315" s="1"/>
  <c r="E33" i="315"/>
  <c r="E45" i="315" s="1"/>
  <c r="D26" i="315"/>
  <c r="D27" i="315"/>
  <c r="D39" i="315" s="1"/>
  <c r="D28" i="315"/>
  <c r="D40" i="315" s="1"/>
  <c r="D29" i="315"/>
  <c r="D41" i="315" s="1"/>
  <c r="D30" i="315"/>
  <c r="D42" i="315" s="1"/>
  <c r="D31" i="315"/>
  <c r="D43" i="315" s="1"/>
  <c r="D32" i="315"/>
  <c r="D44" i="315" s="1"/>
  <c r="D33" i="315"/>
  <c r="D45" i="315" s="1"/>
  <c r="R117" i="310" l="1"/>
  <c r="S116" i="310" a="1"/>
  <c r="S116" i="310" s="1"/>
  <c r="S115" i="310" a="1"/>
  <c r="S115" i="310" s="1"/>
  <c r="Q31" i="315"/>
  <c r="Q43" i="315" s="1"/>
  <c r="Q29" i="315"/>
  <c r="Q41" i="315" s="1"/>
  <c r="Q26" i="315"/>
  <c r="Q30" i="315"/>
  <c r="Q42" i="315" s="1"/>
  <c r="Q35" i="315"/>
  <c r="Q47" i="315" s="1"/>
  <c r="Q34" i="315"/>
  <c r="Q46" i="315" s="1"/>
  <c r="Q33" i="315"/>
  <c r="Q45" i="315" s="1"/>
  <c r="C27" i="315"/>
  <c r="C39" i="315" s="1"/>
  <c r="S158" i="310"/>
  <c r="C33" i="315"/>
  <c r="C45" i="315" s="1"/>
  <c r="C31" i="315"/>
  <c r="C43" i="315" s="1"/>
  <c r="Q28" i="315"/>
  <c r="Q40" i="315" s="1"/>
  <c r="Q27" i="315"/>
  <c r="Q39" i="315" s="1"/>
  <c r="S183" i="310"/>
  <c r="T184" i="310" s="1"/>
  <c r="C30" i="315"/>
  <c r="C42" i="315" s="1"/>
  <c r="C29" i="315"/>
  <c r="C41" i="315" s="1"/>
  <c r="M29" i="234"/>
  <c r="T89" i="310" a="1"/>
  <c r="T89" i="310" s="1"/>
  <c r="T186" i="310"/>
  <c r="C32" i="315"/>
  <c r="C44" i="315" s="1"/>
  <c r="AA57" i="307"/>
  <c r="AB18" i="307"/>
  <c r="AA62" i="307"/>
  <c r="U5" i="310"/>
  <c r="U185" i="310" s="1" a="1"/>
  <c r="U185" i="310" s="1"/>
  <c r="AF14" i="308"/>
  <c r="AG11" i="308"/>
  <c r="C28" i="315"/>
  <c r="C40" i="315" s="1"/>
  <c r="C35" i="315"/>
  <c r="C47" i="315" s="1"/>
  <c r="C34" i="315"/>
  <c r="C46" i="315" s="1"/>
  <c r="C38" i="315"/>
  <c r="C52" i="315" a="1"/>
  <c r="D38" i="315"/>
  <c r="D36" i="315"/>
  <c r="C53" i="315" a="1"/>
  <c r="E38" i="315"/>
  <c r="C70" i="315" s="1" a="1"/>
  <c r="C70" i="315" s="1"/>
  <c r="E36" i="315"/>
  <c r="C54" i="315" a="1"/>
  <c r="F38" i="315"/>
  <c r="F36" i="315"/>
  <c r="C55" i="315" a="1"/>
  <c r="G38" i="315"/>
  <c r="G36" i="315"/>
  <c r="C56" i="315" a="1"/>
  <c r="H38" i="315"/>
  <c r="H36" i="315"/>
  <c r="C57" i="315" a="1"/>
  <c r="I38" i="315"/>
  <c r="I36" i="315"/>
  <c r="C58" i="315" a="1"/>
  <c r="J38" i="315"/>
  <c r="J36" i="315"/>
  <c r="C59" i="315" a="1"/>
  <c r="K38" i="315"/>
  <c r="K36" i="315"/>
  <c r="C60" i="315" a="1"/>
  <c r="L38" i="315"/>
  <c r="L36" i="315"/>
  <c r="M26" i="315"/>
  <c r="M27" i="315"/>
  <c r="M39" i="315" s="1"/>
  <c r="M28" i="315"/>
  <c r="M40" i="315" s="1"/>
  <c r="M29" i="315"/>
  <c r="M41" i="315" s="1"/>
  <c r="M30" i="315"/>
  <c r="M42" i="315" s="1"/>
  <c r="M31" i="315"/>
  <c r="M43" i="315" s="1"/>
  <c r="M32" i="315"/>
  <c r="M44" i="315" s="1"/>
  <c r="M33" i="315"/>
  <c r="M45" i="315" s="1"/>
  <c r="M34" i="315"/>
  <c r="M46" i="315" s="1"/>
  <c r="M35" i="315"/>
  <c r="M47" i="315" s="1"/>
  <c r="O26" i="315"/>
  <c r="O27" i="315"/>
  <c r="O39" i="315" s="1"/>
  <c r="O28" i="315"/>
  <c r="O40" i="315" s="1"/>
  <c r="O29" i="315"/>
  <c r="O41" i="315" s="1"/>
  <c r="O30" i="315"/>
  <c r="O42" i="315" s="1"/>
  <c r="O31" i="315"/>
  <c r="O43" i="315" s="1"/>
  <c r="O32" i="315"/>
  <c r="O44" i="315" s="1"/>
  <c r="O33" i="315"/>
  <c r="O45" i="315" s="1"/>
  <c r="O34" i="315"/>
  <c r="O46" i="315" s="1"/>
  <c r="O35" i="315"/>
  <c r="O47" i="315" s="1"/>
  <c r="P26" i="315"/>
  <c r="P27" i="315"/>
  <c r="P39" i="315" s="1"/>
  <c r="P28" i="315"/>
  <c r="P40" i="315" s="1"/>
  <c r="P29" i="315"/>
  <c r="P41" i="315" s="1"/>
  <c r="P30" i="315"/>
  <c r="P42" i="315" s="1"/>
  <c r="P31" i="315"/>
  <c r="P43" i="315" s="1"/>
  <c r="P32" i="315"/>
  <c r="P44" i="315" s="1"/>
  <c r="P33" i="315"/>
  <c r="P45" i="315" s="1"/>
  <c r="P34" i="315"/>
  <c r="P46" i="315" s="1"/>
  <c r="P35" i="315"/>
  <c r="P47" i="315" s="1"/>
  <c r="Q38" i="315"/>
  <c r="P49" i="308" l="1" a="1"/>
  <c r="P49" i="308" s="1"/>
  <c r="O49" i="308" a="1"/>
  <c r="O49" i="308" s="1"/>
  <c r="N49" i="308" a="1"/>
  <c r="N49" i="308" s="1"/>
  <c r="M49" i="308" a="1"/>
  <c r="M49" i="308" s="1"/>
  <c r="L49" i="308" a="1"/>
  <c r="L49" i="308" s="1"/>
  <c r="K49" i="308" a="1"/>
  <c r="K49" i="308" s="1"/>
  <c r="J49" i="308" a="1"/>
  <c r="J49" i="308" s="1"/>
  <c r="P48" i="308" a="1"/>
  <c r="P48" i="308" s="1"/>
  <c r="O48" i="308" a="1"/>
  <c r="O48" i="308" s="1"/>
  <c r="N48" i="308" a="1"/>
  <c r="N48" i="308" s="1"/>
  <c r="M48" i="308" a="1"/>
  <c r="M48" i="308" s="1"/>
  <c r="L48" i="308" a="1"/>
  <c r="L48" i="308" s="1"/>
  <c r="K48" i="308" a="1"/>
  <c r="K48" i="308" s="1"/>
  <c r="J48" i="308" a="1"/>
  <c r="J48" i="308" s="1"/>
  <c r="P47" i="308" a="1"/>
  <c r="P47" i="308" s="1"/>
  <c r="O47" i="308" a="1"/>
  <c r="O47" i="308" s="1"/>
  <c r="N47" i="308" a="1"/>
  <c r="N47" i="308" s="1"/>
  <c r="M47" i="308" a="1"/>
  <c r="M47" i="308" s="1"/>
  <c r="L47" i="308" a="1"/>
  <c r="L47" i="308" s="1"/>
  <c r="K47" i="308" a="1"/>
  <c r="K47" i="308" s="1"/>
  <c r="J47" i="308" a="1"/>
  <c r="J47" i="308" s="1"/>
  <c r="P46" i="308" a="1"/>
  <c r="P46" i="308" s="1"/>
  <c r="O46" i="308" a="1"/>
  <c r="O46" i="308" s="1"/>
  <c r="N46" i="308" a="1"/>
  <c r="N46" i="308" s="1"/>
  <c r="M46" i="308" a="1"/>
  <c r="M46" i="308" s="1"/>
  <c r="L46" i="308" a="1"/>
  <c r="L46" i="308" s="1"/>
  <c r="K46" i="308" a="1"/>
  <c r="K46" i="308" s="1"/>
  <c r="J46" i="308" a="1"/>
  <c r="J46" i="308" s="1"/>
  <c r="P45" i="308" a="1"/>
  <c r="P45" i="308" s="1"/>
  <c r="O45" i="308" a="1"/>
  <c r="O45" i="308" s="1"/>
  <c r="N45" i="308" a="1"/>
  <c r="N45" i="308" s="1"/>
  <c r="M45" i="308" a="1"/>
  <c r="M45" i="308" s="1"/>
  <c r="L45" i="308" a="1"/>
  <c r="L45" i="308" s="1"/>
  <c r="K45" i="308" a="1"/>
  <c r="K45" i="308" s="1"/>
  <c r="J45" i="308" a="1"/>
  <c r="J45" i="308" s="1"/>
  <c r="P44" i="308" a="1"/>
  <c r="P44" i="308" s="1"/>
  <c r="O44" i="308" a="1"/>
  <c r="O44" i="308" s="1"/>
  <c r="N44" i="308" a="1"/>
  <c r="N44" i="308" s="1"/>
  <c r="M44" i="308" a="1"/>
  <c r="M44" i="308" s="1"/>
  <c r="L44" i="308" a="1"/>
  <c r="L44" i="308" s="1"/>
  <c r="K44" i="308" a="1"/>
  <c r="K44" i="308" s="1"/>
  <c r="J44" i="308" a="1"/>
  <c r="J44" i="308" s="1"/>
  <c r="P43" i="308" a="1"/>
  <c r="P43" i="308" s="1"/>
  <c r="O43" i="308" a="1"/>
  <c r="O43" i="308" s="1"/>
  <c r="N43" i="308" a="1"/>
  <c r="N43" i="308" s="1"/>
  <c r="M43" i="308" a="1"/>
  <c r="M43" i="308" s="1"/>
  <c r="L43" i="308" a="1"/>
  <c r="L43" i="308" s="1"/>
  <c r="K43" i="308" a="1"/>
  <c r="K43" i="308" s="1"/>
  <c r="J43" i="308" a="1"/>
  <c r="J43" i="308" s="1"/>
  <c r="P42" i="308" a="1"/>
  <c r="P42" i="308" s="1"/>
  <c r="O42" i="308" a="1"/>
  <c r="O42" i="308" s="1"/>
  <c r="N42" i="308" a="1"/>
  <c r="N42" i="308" s="1"/>
  <c r="M42" i="308" a="1"/>
  <c r="M42" i="308" s="1"/>
  <c r="L42" i="308" a="1"/>
  <c r="L42" i="308" s="1"/>
  <c r="K42" i="308" a="1"/>
  <c r="K42" i="308" s="1"/>
  <c r="J42" i="308" a="1"/>
  <c r="J42" i="308" s="1"/>
  <c r="P41" i="308" a="1"/>
  <c r="P41" i="308" s="1"/>
  <c r="O41" i="308" a="1"/>
  <c r="O41" i="308" s="1"/>
  <c r="N41" i="308" a="1"/>
  <c r="N41" i="308" s="1"/>
  <c r="M41" i="308" a="1"/>
  <c r="M41" i="308" s="1"/>
  <c r="L41" i="308" a="1"/>
  <c r="L41" i="308" s="1"/>
  <c r="K41" i="308" a="1"/>
  <c r="K41" i="308" s="1"/>
  <c r="J41" i="308" a="1"/>
  <c r="J41" i="308" s="1"/>
  <c r="P40" i="308" a="1"/>
  <c r="P40" i="308" s="1"/>
  <c r="O40" i="308" a="1"/>
  <c r="O40" i="308" s="1"/>
  <c r="N40" i="308" a="1"/>
  <c r="N40" i="308" s="1"/>
  <c r="M40" i="308" a="1"/>
  <c r="M40" i="308" s="1"/>
  <c r="L40" i="308" a="1"/>
  <c r="L40" i="308" s="1"/>
  <c r="K40" i="308" a="1"/>
  <c r="K40" i="308" s="1"/>
  <c r="J40" i="308" a="1"/>
  <c r="J40" i="308" s="1"/>
  <c r="P39" i="308" a="1"/>
  <c r="P39" i="308" s="1"/>
  <c r="O39" i="308" a="1"/>
  <c r="O39" i="308" s="1"/>
  <c r="N39" i="308" a="1"/>
  <c r="N39" i="308" s="1"/>
  <c r="M39" i="308" a="1"/>
  <c r="M39" i="308" s="1"/>
  <c r="L39" i="308" a="1"/>
  <c r="L39" i="308" s="1"/>
  <c r="K39" i="308" a="1"/>
  <c r="K39" i="308" s="1"/>
  <c r="J39" i="308" a="1"/>
  <c r="J39" i="308" s="1"/>
  <c r="P38" i="308" a="1"/>
  <c r="P38" i="308" s="1"/>
  <c r="O38" i="308" a="1"/>
  <c r="O38" i="308" s="1"/>
  <c r="N38" i="308" a="1"/>
  <c r="N38" i="308" s="1"/>
  <c r="M38" i="308" a="1"/>
  <c r="M38" i="308" s="1"/>
  <c r="L38" i="308" a="1"/>
  <c r="L38" i="308" s="1"/>
  <c r="K38" i="308" a="1"/>
  <c r="K38" i="308" s="1"/>
  <c r="J38" i="308" a="1"/>
  <c r="J38" i="308" s="1"/>
  <c r="P37" i="308" a="1"/>
  <c r="P37" i="308" s="1"/>
  <c r="O37" i="308" a="1"/>
  <c r="O37" i="308" s="1"/>
  <c r="N37" i="308" a="1"/>
  <c r="N37" i="308" s="1"/>
  <c r="M37" i="308" a="1"/>
  <c r="M37" i="308" s="1"/>
  <c r="L37" i="308" a="1"/>
  <c r="L37" i="308" s="1"/>
  <c r="K37" i="308" a="1"/>
  <c r="K37" i="308" s="1"/>
  <c r="J37" i="308" a="1"/>
  <c r="J37" i="308" s="1"/>
  <c r="P36" i="308" a="1"/>
  <c r="P36" i="308" s="1"/>
  <c r="O36" i="308" a="1"/>
  <c r="O36" i="308" s="1"/>
  <c r="N36" i="308" a="1"/>
  <c r="N36" i="308" s="1"/>
  <c r="M36" i="308" a="1"/>
  <c r="M36" i="308" s="1"/>
  <c r="L36" i="308" a="1"/>
  <c r="L36" i="308" s="1"/>
  <c r="K36" i="308" a="1"/>
  <c r="K36" i="308" s="1"/>
  <c r="J36" i="308" a="1"/>
  <c r="J36" i="308" s="1"/>
  <c r="P35" i="308" a="1"/>
  <c r="P35" i="308" s="1"/>
  <c r="O35" i="308" a="1"/>
  <c r="O35" i="308" s="1"/>
  <c r="N35" i="308" a="1"/>
  <c r="N35" i="308" s="1"/>
  <c r="M35" i="308" a="1"/>
  <c r="M35" i="308" s="1"/>
  <c r="L35" i="308" a="1"/>
  <c r="L35" i="308" s="1"/>
  <c r="K35" i="308" a="1"/>
  <c r="K35" i="308" s="1"/>
  <c r="J35" i="308" a="1"/>
  <c r="J35" i="308" s="1"/>
  <c r="P34" i="308" a="1"/>
  <c r="P34" i="308" s="1"/>
  <c r="O34" i="308" a="1"/>
  <c r="O34" i="308" s="1"/>
  <c r="N34" i="308" a="1"/>
  <c r="N34" i="308" s="1"/>
  <c r="M34" i="308" a="1"/>
  <c r="M34" i="308" s="1"/>
  <c r="L34" i="308" a="1"/>
  <c r="L34" i="308" s="1"/>
  <c r="K34" i="308" a="1"/>
  <c r="K34" i="308" s="1"/>
  <c r="J34" i="308" a="1"/>
  <c r="J34" i="308" s="1"/>
  <c r="P33" i="308" a="1"/>
  <c r="P33" i="308" s="1"/>
  <c r="O33" i="308" a="1"/>
  <c r="O33" i="308" s="1"/>
  <c r="N33" i="308" a="1"/>
  <c r="N33" i="308" s="1"/>
  <c r="M33" i="308" a="1"/>
  <c r="M33" i="308" s="1"/>
  <c r="L33" i="308" a="1"/>
  <c r="L33" i="308" s="1"/>
  <c r="K33" i="308" a="1"/>
  <c r="K33" i="308" s="1"/>
  <c r="J33" i="308" a="1"/>
  <c r="J33" i="308" s="1"/>
  <c r="P32" i="308" a="1"/>
  <c r="P32" i="308" s="1"/>
  <c r="O32" i="308" a="1"/>
  <c r="O32" i="308" s="1"/>
  <c r="N32" i="308" a="1"/>
  <c r="N32" i="308" s="1"/>
  <c r="M32" i="308" a="1"/>
  <c r="M32" i="308" s="1"/>
  <c r="L32" i="308" a="1"/>
  <c r="L32" i="308" s="1"/>
  <c r="K32" i="308" a="1"/>
  <c r="K32" i="308" s="1"/>
  <c r="J32" i="308" a="1"/>
  <c r="J32" i="308" s="1"/>
  <c r="P31" i="308" a="1"/>
  <c r="P31" i="308" s="1"/>
  <c r="O31" i="308" a="1"/>
  <c r="O31" i="308" s="1"/>
  <c r="N31" i="308" a="1"/>
  <c r="N31" i="308" s="1"/>
  <c r="M31" i="308" a="1"/>
  <c r="M31" i="308" s="1"/>
  <c r="L31" i="308" a="1"/>
  <c r="L31" i="308" s="1"/>
  <c r="K31" i="308" a="1"/>
  <c r="K31" i="308" s="1"/>
  <c r="J31" i="308" a="1"/>
  <c r="J31" i="308" s="1"/>
  <c r="P30" i="308" a="1"/>
  <c r="P30" i="308" s="1"/>
  <c r="O30" i="308" a="1"/>
  <c r="O30" i="308" s="1"/>
  <c r="N30" i="308" a="1"/>
  <c r="N30" i="308" s="1"/>
  <c r="M30" i="308" a="1"/>
  <c r="M30" i="308" s="1"/>
  <c r="L30" i="308" a="1"/>
  <c r="L30" i="308" s="1"/>
  <c r="K30" i="308" a="1"/>
  <c r="K30" i="308" s="1"/>
  <c r="J30" i="308" a="1"/>
  <c r="J30" i="308" s="1"/>
  <c r="P29" i="308" a="1"/>
  <c r="P29" i="308" s="1"/>
  <c r="O29" i="308" a="1"/>
  <c r="O29" i="308" s="1"/>
  <c r="N29" i="308" a="1"/>
  <c r="N29" i="308" s="1"/>
  <c r="M29" i="308" a="1"/>
  <c r="M29" i="308" s="1"/>
  <c r="L29" i="308" a="1"/>
  <c r="L29" i="308" s="1"/>
  <c r="K29" i="308" a="1"/>
  <c r="K29" i="308" s="1"/>
  <c r="J29" i="308" a="1"/>
  <c r="J29" i="308" s="1"/>
  <c r="P28" i="308" a="1"/>
  <c r="P28" i="308" s="1"/>
  <c r="O28" i="308" a="1"/>
  <c r="O28" i="308" s="1"/>
  <c r="N28" i="308" a="1"/>
  <c r="N28" i="308" s="1"/>
  <c r="M28" i="308" a="1"/>
  <c r="M28" i="308" s="1"/>
  <c r="L28" i="308" a="1"/>
  <c r="L28" i="308" s="1"/>
  <c r="K28" i="308" a="1"/>
  <c r="K28" i="308" s="1"/>
  <c r="J28" i="308" a="1"/>
  <c r="J28" i="308" s="1"/>
  <c r="P27" i="308" a="1"/>
  <c r="P27" i="308" s="1"/>
  <c r="O27" i="308" a="1"/>
  <c r="O27" i="308" s="1"/>
  <c r="N27" i="308" a="1"/>
  <c r="N27" i="308" s="1"/>
  <c r="M27" i="308" a="1"/>
  <c r="M27" i="308" s="1"/>
  <c r="L27" i="308" a="1"/>
  <c r="L27" i="308" s="1"/>
  <c r="K27" i="308" a="1"/>
  <c r="K27" i="308" s="1"/>
  <c r="J27" i="308" a="1"/>
  <c r="J27" i="308" s="1"/>
  <c r="P26" i="308" a="1"/>
  <c r="P26" i="308" s="1"/>
  <c r="O26" i="308" a="1"/>
  <c r="O26" i="308" s="1"/>
  <c r="N26" i="308" a="1"/>
  <c r="N26" i="308" s="1"/>
  <c r="M26" i="308" a="1"/>
  <c r="M26" i="308" s="1"/>
  <c r="L26" i="308" a="1"/>
  <c r="L26" i="308" s="1"/>
  <c r="K26" i="308" a="1"/>
  <c r="K26" i="308" s="1"/>
  <c r="J26" i="308" a="1"/>
  <c r="J26" i="308" s="1"/>
  <c r="P25" i="308" a="1"/>
  <c r="P25" i="308" s="1"/>
  <c r="O25" i="308" a="1"/>
  <c r="O25" i="308" s="1"/>
  <c r="N25" i="308" a="1"/>
  <c r="N25" i="308" s="1"/>
  <c r="M25" i="308" a="1"/>
  <c r="M25" i="308" s="1"/>
  <c r="L25" i="308" a="1"/>
  <c r="L25" i="308" s="1"/>
  <c r="K25" i="308" a="1"/>
  <c r="K25" i="308" s="1"/>
  <c r="J25" i="308" a="1"/>
  <c r="J25" i="308" s="1"/>
  <c r="P24" i="308" a="1"/>
  <c r="P24" i="308" s="1"/>
  <c r="O24" i="308" a="1"/>
  <c r="O24" i="308" s="1"/>
  <c r="N24" i="308" a="1"/>
  <c r="N24" i="308" s="1"/>
  <c r="M24" i="308" a="1"/>
  <c r="M24" i="308" s="1"/>
  <c r="L24" i="308" a="1"/>
  <c r="L24" i="308" s="1"/>
  <c r="K24" i="308" a="1"/>
  <c r="K24" i="308" s="1"/>
  <c r="J24" i="308" a="1"/>
  <c r="J24" i="308" s="1"/>
  <c r="P23" i="308" a="1"/>
  <c r="P23" i="308" s="1"/>
  <c r="O23" i="308" a="1"/>
  <c r="O23" i="308" s="1"/>
  <c r="N23" i="308" a="1"/>
  <c r="N23" i="308" s="1"/>
  <c r="M23" i="308" a="1"/>
  <c r="M23" i="308" s="1"/>
  <c r="L23" i="308" a="1"/>
  <c r="L23" i="308" s="1"/>
  <c r="K23" i="308" a="1"/>
  <c r="K23" i="308" s="1"/>
  <c r="J23" i="308" a="1"/>
  <c r="J23" i="308" s="1"/>
  <c r="P22" i="308" a="1"/>
  <c r="P22" i="308" s="1"/>
  <c r="O22" i="308" a="1"/>
  <c r="O22" i="308" s="1"/>
  <c r="N22" i="308" a="1"/>
  <c r="N22" i="308" s="1"/>
  <c r="M22" i="308" a="1"/>
  <c r="M22" i="308" s="1"/>
  <c r="L22" i="308" a="1"/>
  <c r="L22" i="308" s="1"/>
  <c r="K22" i="308" a="1"/>
  <c r="K22" i="308" s="1"/>
  <c r="J22" i="308" a="1"/>
  <c r="J22" i="308" s="1"/>
  <c r="S117" i="310"/>
  <c r="T116" i="310" a="1"/>
  <c r="T116" i="310" s="1"/>
  <c r="T115" i="310" a="1"/>
  <c r="T115" i="310" s="1"/>
  <c r="Q36" i="315"/>
  <c r="C65" i="315" a="1"/>
  <c r="L46" i="310" s="1" a="1"/>
  <c r="L46" i="310" s="1"/>
  <c r="C51" i="315" a="1"/>
  <c r="T158" i="310"/>
  <c r="T183" i="310"/>
  <c r="U184" i="310" s="1"/>
  <c r="AH11" i="308"/>
  <c r="AG14" i="308"/>
  <c r="N29" i="234"/>
  <c r="U89" i="310" a="1"/>
  <c r="U89" i="310" s="1"/>
  <c r="S29" i="234"/>
  <c r="U186" i="310"/>
  <c r="AB62" i="307"/>
  <c r="AB57" i="307"/>
  <c r="AC18" i="307"/>
  <c r="V5" i="310"/>
  <c r="V185" i="310" s="1" a="1"/>
  <c r="V185" i="310" s="1"/>
  <c r="C36" i="315"/>
  <c r="Q46" i="310" a="1"/>
  <c r="Q46" i="310" s="1"/>
  <c r="P46" i="310" a="1"/>
  <c r="P46" i="310" s="1"/>
  <c r="O46" i="310" a="1"/>
  <c r="O46" i="310" s="1"/>
  <c r="N46" i="310" a="1"/>
  <c r="N46" i="310" s="1"/>
  <c r="M46" i="310" a="1"/>
  <c r="M46" i="310" s="1"/>
  <c r="K46" i="310" a="1"/>
  <c r="K46" i="310" s="1"/>
  <c r="Q65" i="310" a="1"/>
  <c r="Q65" i="310" s="1"/>
  <c r="P65" i="310" a="1"/>
  <c r="P65" i="310" s="1"/>
  <c r="O65" i="310" a="1"/>
  <c r="O65" i="310" s="1"/>
  <c r="N65" i="310" a="1"/>
  <c r="N65" i="310" s="1"/>
  <c r="M65" i="310" a="1"/>
  <c r="M65" i="310" s="1"/>
  <c r="L65" i="310" a="1"/>
  <c r="L65" i="310" s="1"/>
  <c r="K65" i="310" a="1"/>
  <c r="K65" i="310" s="1"/>
  <c r="Q27" i="310" a="1"/>
  <c r="Q27" i="310" s="1"/>
  <c r="P27" i="310" a="1"/>
  <c r="P27" i="310" s="1"/>
  <c r="O27" i="310" a="1"/>
  <c r="O27" i="310" s="1"/>
  <c r="N27" i="310" a="1"/>
  <c r="N27" i="310" s="1"/>
  <c r="M27" i="310" a="1"/>
  <c r="M27" i="310" s="1"/>
  <c r="L27" i="310" a="1"/>
  <c r="L27" i="310" s="1"/>
  <c r="K27" i="310" a="1"/>
  <c r="K27" i="310" s="1"/>
  <c r="Q107" i="310" a="1"/>
  <c r="Q107" i="310" s="1"/>
  <c r="P107" i="310" a="1"/>
  <c r="P107" i="310" s="1"/>
  <c r="O107" i="310" a="1"/>
  <c r="O107" i="310" s="1"/>
  <c r="N107" i="310" a="1"/>
  <c r="N107" i="310" s="1"/>
  <c r="M107" i="310" a="1"/>
  <c r="M107" i="310" s="1"/>
  <c r="L107" i="310" a="1"/>
  <c r="L107" i="310" s="1"/>
  <c r="K107" i="310" a="1"/>
  <c r="K107" i="310" s="1"/>
  <c r="Q41" i="310" a="1"/>
  <c r="Q41" i="310" s="1"/>
  <c r="P41" i="310" a="1"/>
  <c r="P41" i="310" s="1"/>
  <c r="O41" i="310" a="1"/>
  <c r="O41" i="310" s="1"/>
  <c r="N41" i="310" a="1"/>
  <c r="N41" i="310" s="1"/>
  <c r="M41" i="310" a="1"/>
  <c r="M41" i="310" s="1"/>
  <c r="L41" i="310" a="1"/>
  <c r="L41" i="310" s="1"/>
  <c r="K41" i="310" a="1"/>
  <c r="K41" i="310" s="1"/>
  <c r="Q60" i="310" a="1"/>
  <c r="Q60" i="310" s="1"/>
  <c r="P60" i="310" a="1"/>
  <c r="P60" i="310" s="1"/>
  <c r="O60" i="310" a="1"/>
  <c r="O60" i="310" s="1"/>
  <c r="N60" i="310" a="1"/>
  <c r="N60" i="310" s="1"/>
  <c r="M60" i="310" a="1"/>
  <c r="M60" i="310" s="1"/>
  <c r="L60" i="310" a="1"/>
  <c r="L60" i="310" s="1"/>
  <c r="K60" i="310" a="1"/>
  <c r="K60" i="310" s="1"/>
  <c r="Q22" i="310" a="1"/>
  <c r="Q22" i="310" s="1"/>
  <c r="P22" i="310" a="1"/>
  <c r="P22" i="310" s="1"/>
  <c r="O22" i="310" a="1"/>
  <c r="O22" i="310" s="1"/>
  <c r="N22" i="310" a="1"/>
  <c r="N22" i="310" s="1"/>
  <c r="M22" i="310" a="1"/>
  <c r="M22" i="310" s="1"/>
  <c r="L22" i="310" a="1"/>
  <c r="L22" i="310" s="1"/>
  <c r="K22" i="310" a="1"/>
  <c r="K22" i="310" s="1"/>
  <c r="Q102" i="310" a="1"/>
  <c r="Q102" i="310" s="1"/>
  <c r="P102" i="310" a="1"/>
  <c r="P102" i="310" s="1"/>
  <c r="O102" i="310" a="1"/>
  <c r="O102" i="310" s="1"/>
  <c r="N102" i="310" a="1"/>
  <c r="N102" i="310" s="1"/>
  <c r="M102" i="310" a="1"/>
  <c r="M102" i="310" s="1"/>
  <c r="L102" i="310" a="1"/>
  <c r="L102" i="310" s="1"/>
  <c r="K102" i="310" a="1"/>
  <c r="K102" i="310" s="1"/>
  <c r="Q40" i="310" a="1"/>
  <c r="Q40" i="310" s="1"/>
  <c r="P40" i="310" a="1"/>
  <c r="P40" i="310" s="1"/>
  <c r="O40" i="310" a="1"/>
  <c r="O40" i="310" s="1"/>
  <c r="N40" i="310" a="1"/>
  <c r="N40" i="310" s="1"/>
  <c r="M40" i="310" a="1"/>
  <c r="M40" i="310" s="1"/>
  <c r="L40" i="310" a="1"/>
  <c r="L40" i="310" s="1"/>
  <c r="K40" i="310" a="1"/>
  <c r="K40" i="310" s="1"/>
  <c r="Q59" i="310" a="1"/>
  <c r="Q59" i="310" s="1"/>
  <c r="P59" i="310" a="1"/>
  <c r="P59" i="310" s="1"/>
  <c r="O59" i="310" a="1"/>
  <c r="O59" i="310" s="1"/>
  <c r="N59" i="310" a="1"/>
  <c r="N59" i="310" s="1"/>
  <c r="M59" i="310" a="1"/>
  <c r="M59" i="310" s="1"/>
  <c r="L59" i="310" a="1"/>
  <c r="L59" i="310" s="1"/>
  <c r="K59" i="310" a="1"/>
  <c r="K59" i="310" s="1"/>
  <c r="Q21" i="310" a="1"/>
  <c r="Q21" i="310" s="1"/>
  <c r="P21" i="310" a="1"/>
  <c r="P21" i="310" s="1"/>
  <c r="O21" i="310" a="1"/>
  <c r="O21" i="310" s="1"/>
  <c r="N21" i="310" a="1"/>
  <c r="N21" i="310" s="1"/>
  <c r="M21" i="310" a="1"/>
  <c r="M21" i="310" s="1"/>
  <c r="L21" i="310" a="1"/>
  <c r="L21" i="310" s="1"/>
  <c r="K21" i="310" a="1"/>
  <c r="K21" i="310" s="1"/>
  <c r="Q101" i="310" a="1"/>
  <c r="Q101" i="310" s="1"/>
  <c r="P101" i="310" a="1"/>
  <c r="P101" i="310" s="1"/>
  <c r="O101" i="310" a="1"/>
  <c r="O101" i="310" s="1"/>
  <c r="N101" i="310" a="1"/>
  <c r="N101" i="310" s="1"/>
  <c r="M101" i="310" a="1"/>
  <c r="M101" i="310" s="1"/>
  <c r="L101" i="310" a="1"/>
  <c r="L101" i="310" s="1"/>
  <c r="K101" i="310" a="1"/>
  <c r="K101" i="310" s="1"/>
  <c r="Q39" i="310" a="1"/>
  <c r="Q39" i="310" s="1"/>
  <c r="P39" i="310" a="1"/>
  <c r="P39" i="310" s="1"/>
  <c r="O39" i="310" a="1"/>
  <c r="O39" i="310" s="1"/>
  <c r="N39" i="310" a="1"/>
  <c r="N39" i="310" s="1"/>
  <c r="M39" i="310" a="1"/>
  <c r="M39" i="310" s="1"/>
  <c r="L39" i="310" a="1"/>
  <c r="L39" i="310" s="1"/>
  <c r="K39" i="310" a="1"/>
  <c r="K39" i="310" s="1"/>
  <c r="Q58" i="310" a="1"/>
  <c r="Q58" i="310" s="1"/>
  <c r="P58" i="310" a="1"/>
  <c r="P58" i="310" s="1"/>
  <c r="O58" i="310" a="1"/>
  <c r="O58" i="310" s="1"/>
  <c r="N58" i="310" a="1"/>
  <c r="N58" i="310" s="1"/>
  <c r="M58" i="310" a="1"/>
  <c r="M58" i="310" s="1"/>
  <c r="L58" i="310" a="1"/>
  <c r="L58" i="310" s="1"/>
  <c r="K58" i="310" a="1"/>
  <c r="K58" i="310" s="1"/>
  <c r="Q20" i="310" a="1"/>
  <c r="Q20" i="310" s="1"/>
  <c r="P20" i="310" a="1"/>
  <c r="P20" i="310" s="1"/>
  <c r="O20" i="310" a="1"/>
  <c r="O20" i="310" s="1"/>
  <c r="N20" i="310" a="1"/>
  <c r="N20" i="310" s="1"/>
  <c r="M20" i="310" a="1"/>
  <c r="M20" i="310" s="1"/>
  <c r="L20" i="310" a="1"/>
  <c r="L20" i="310" s="1"/>
  <c r="K20" i="310" a="1"/>
  <c r="K20" i="310" s="1"/>
  <c r="Q100" i="310" a="1"/>
  <c r="Q100" i="310" s="1"/>
  <c r="P100" i="310" a="1"/>
  <c r="P100" i="310" s="1"/>
  <c r="O100" i="310" a="1"/>
  <c r="O100" i="310" s="1"/>
  <c r="N100" i="310" a="1"/>
  <c r="N100" i="310" s="1"/>
  <c r="M100" i="310" a="1"/>
  <c r="M100" i="310" s="1"/>
  <c r="L100" i="310" a="1"/>
  <c r="L100" i="310" s="1"/>
  <c r="K100" i="310" a="1"/>
  <c r="K100" i="310" s="1"/>
  <c r="Q38" i="310" a="1"/>
  <c r="Q38" i="310" s="1"/>
  <c r="P38" i="310" a="1"/>
  <c r="P38" i="310" s="1"/>
  <c r="O38" i="310" a="1"/>
  <c r="O38" i="310" s="1"/>
  <c r="N38" i="310" a="1"/>
  <c r="N38" i="310" s="1"/>
  <c r="M38" i="310" a="1"/>
  <c r="M38" i="310" s="1"/>
  <c r="L38" i="310" a="1"/>
  <c r="L38" i="310" s="1"/>
  <c r="K38" i="310" a="1"/>
  <c r="K38" i="310" s="1"/>
  <c r="Q57" i="310" a="1"/>
  <c r="Q57" i="310" s="1"/>
  <c r="P57" i="310" a="1"/>
  <c r="P57" i="310" s="1"/>
  <c r="O57" i="310" a="1"/>
  <c r="O57" i="310" s="1"/>
  <c r="N57" i="310" a="1"/>
  <c r="N57" i="310" s="1"/>
  <c r="M57" i="310" a="1"/>
  <c r="M57" i="310" s="1"/>
  <c r="L57" i="310" a="1"/>
  <c r="L57" i="310" s="1"/>
  <c r="K57" i="310" a="1"/>
  <c r="K57" i="310" s="1"/>
  <c r="Q19" i="310" a="1"/>
  <c r="Q19" i="310" s="1"/>
  <c r="P19" i="310" a="1"/>
  <c r="P19" i="310" s="1"/>
  <c r="O19" i="310" a="1"/>
  <c r="O19" i="310" s="1"/>
  <c r="N19" i="310" a="1"/>
  <c r="N19" i="310" s="1"/>
  <c r="M19" i="310" a="1"/>
  <c r="M19" i="310" s="1"/>
  <c r="L19" i="310" a="1"/>
  <c r="L19" i="310" s="1"/>
  <c r="K19" i="310" a="1"/>
  <c r="K19" i="310" s="1"/>
  <c r="Q99" i="310" a="1"/>
  <c r="Q99" i="310" s="1"/>
  <c r="P99" i="310" a="1"/>
  <c r="P99" i="310" s="1"/>
  <c r="O99" i="310" a="1"/>
  <c r="O99" i="310" s="1"/>
  <c r="N99" i="310" a="1"/>
  <c r="N99" i="310" s="1"/>
  <c r="M99" i="310" a="1"/>
  <c r="M99" i="310" s="1"/>
  <c r="L99" i="310" a="1"/>
  <c r="L99" i="310" s="1"/>
  <c r="K99" i="310" a="1"/>
  <c r="K99" i="310" s="1"/>
  <c r="Q37" i="310" a="1"/>
  <c r="Q37" i="310" s="1"/>
  <c r="P37" i="310" a="1"/>
  <c r="P37" i="310" s="1"/>
  <c r="O37" i="310" a="1"/>
  <c r="O37" i="310" s="1"/>
  <c r="N37" i="310" a="1"/>
  <c r="N37" i="310" s="1"/>
  <c r="M37" i="310" a="1"/>
  <c r="M37" i="310" s="1"/>
  <c r="L37" i="310" a="1"/>
  <c r="L37" i="310" s="1"/>
  <c r="K37" i="310" a="1"/>
  <c r="K37" i="310" s="1"/>
  <c r="Q56" i="310" a="1"/>
  <c r="Q56" i="310" s="1"/>
  <c r="P56" i="310" a="1"/>
  <c r="P56" i="310" s="1"/>
  <c r="O56" i="310" a="1"/>
  <c r="O56" i="310" s="1"/>
  <c r="N56" i="310" a="1"/>
  <c r="N56" i="310" s="1"/>
  <c r="M56" i="310" a="1"/>
  <c r="M56" i="310" s="1"/>
  <c r="L56" i="310" a="1"/>
  <c r="L56" i="310" s="1"/>
  <c r="K56" i="310" a="1"/>
  <c r="K56" i="310" s="1"/>
  <c r="Q18" i="310" a="1"/>
  <c r="Q18" i="310" s="1"/>
  <c r="P18" i="310" a="1"/>
  <c r="P18" i="310" s="1"/>
  <c r="O18" i="310" a="1"/>
  <c r="O18" i="310" s="1"/>
  <c r="N18" i="310" a="1"/>
  <c r="N18" i="310" s="1"/>
  <c r="M18" i="310" a="1"/>
  <c r="M18" i="310" s="1"/>
  <c r="L18" i="310" a="1"/>
  <c r="L18" i="310" s="1"/>
  <c r="K18" i="310" a="1"/>
  <c r="K18" i="310" s="1"/>
  <c r="Q98" i="310" a="1"/>
  <c r="Q98" i="310" s="1"/>
  <c r="P98" i="310" a="1"/>
  <c r="P98" i="310" s="1"/>
  <c r="O98" i="310" a="1"/>
  <c r="O98" i="310" s="1"/>
  <c r="N98" i="310" a="1"/>
  <c r="N98" i="310" s="1"/>
  <c r="M98" i="310" a="1"/>
  <c r="M98" i="310" s="1"/>
  <c r="L98" i="310" a="1"/>
  <c r="L98" i="310" s="1"/>
  <c r="K98" i="310" a="1"/>
  <c r="K98" i="310" s="1"/>
  <c r="Q36" i="310" a="1"/>
  <c r="Q36" i="310" s="1"/>
  <c r="P36" i="310" a="1"/>
  <c r="P36" i="310" s="1"/>
  <c r="O36" i="310" a="1"/>
  <c r="O36" i="310" s="1"/>
  <c r="N36" i="310" a="1"/>
  <c r="N36" i="310" s="1"/>
  <c r="M36" i="310" a="1"/>
  <c r="M36" i="310" s="1"/>
  <c r="L36" i="310" a="1"/>
  <c r="L36" i="310" s="1"/>
  <c r="K36" i="310" a="1"/>
  <c r="K36" i="310" s="1"/>
  <c r="Q55" i="310" a="1"/>
  <c r="Q55" i="310" s="1"/>
  <c r="P55" i="310" a="1"/>
  <c r="P55" i="310" s="1"/>
  <c r="O55" i="310" a="1"/>
  <c r="O55" i="310" s="1"/>
  <c r="N55" i="310" a="1"/>
  <c r="N55" i="310" s="1"/>
  <c r="M55" i="310" a="1"/>
  <c r="M55" i="310" s="1"/>
  <c r="L55" i="310" a="1"/>
  <c r="L55" i="310" s="1"/>
  <c r="K55" i="310" a="1"/>
  <c r="K55" i="310" s="1"/>
  <c r="Q17" i="310" a="1"/>
  <c r="Q17" i="310" s="1"/>
  <c r="P17" i="310" a="1"/>
  <c r="P17" i="310" s="1"/>
  <c r="O17" i="310" a="1"/>
  <c r="O17" i="310" s="1"/>
  <c r="N17" i="310" a="1"/>
  <c r="N17" i="310" s="1"/>
  <c r="M17" i="310" a="1"/>
  <c r="M17" i="310" s="1"/>
  <c r="L17" i="310" a="1"/>
  <c r="L17" i="310" s="1"/>
  <c r="K17" i="310" a="1"/>
  <c r="K17" i="310" s="1"/>
  <c r="Q97" i="310" a="1"/>
  <c r="Q97" i="310" s="1"/>
  <c r="P97" i="310" a="1"/>
  <c r="P97" i="310" s="1"/>
  <c r="O97" i="310" a="1"/>
  <c r="O97" i="310" s="1"/>
  <c r="N97" i="310" a="1"/>
  <c r="N97" i="310" s="1"/>
  <c r="M97" i="310" a="1"/>
  <c r="M97" i="310" s="1"/>
  <c r="L97" i="310" a="1"/>
  <c r="L97" i="310" s="1"/>
  <c r="K97" i="310" a="1"/>
  <c r="K97" i="310" s="1"/>
  <c r="Q35" i="310" a="1"/>
  <c r="Q35" i="310" s="1"/>
  <c r="P35" i="310" a="1"/>
  <c r="P35" i="310" s="1"/>
  <c r="O35" i="310" a="1"/>
  <c r="O35" i="310" s="1"/>
  <c r="N35" i="310" a="1"/>
  <c r="N35" i="310" s="1"/>
  <c r="M35" i="310" a="1"/>
  <c r="M35" i="310" s="1"/>
  <c r="L35" i="310" a="1"/>
  <c r="L35" i="310" s="1"/>
  <c r="K35" i="310" a="1"/>
  <c r="K35" i="310" s="1"/>
  <c r="Q54" i="310" a="1"/>
  <c r="Q54" i="310" s="1"/>
  <c r="P54" i="310" a="1"/>
  <c r="P54" i="310" s="1"/>
  <c r="O54" i="310" a="1"/>
  <c r="O54" i="310" s="1"/>
  <c r="N54" i="310" a="1"/>
  <c r="N54" i="310" s="1"/>
  <c r="M54" i="310" a="1"/>
  <c r="M54" i="310" s="1"/>
  <c r="L54" i="310" a="1"/>
  <c r="L54" i="310" s="1"/>
  <c r="K54" i="310" a="1"/>
  <c r="K54" i="310" s="1"/>
  <c r="Q16" i="310" a="1"/>
  <c r="Q16" i="310" s="1"/>
  <c r="P16" i="310" a="1"/>
  <c r="P16" i="310" s="1"/>
  <c r="O16" i="310" a="1"/>
  <c r="O16" i="310" s="1"/>
  <c r="N16" i="310" a="1"/>
  <c r="N16" i="310" s="1"/>
  <c r="M16" i="310" a="1"/>
  <c r="M16" i="310" s="1"/>
  <c r="L16" i="310" a="1"/>
  <c r="L16" i="310" s="1"/>
  <c r="K16" i="310" a="1"/>
  <c r="K16" i="310" s="1"/>
  <c r="Q96" i="310" a="1"/>
  <c r="Q96" i="310" s="1"/>
  <c r="P96" i="310" a="1"/>
  <c r="P96" i="310" s="1"/>
  <c r="O96" i="310" a="1"/>
  <c r="O96" i="310" s="1"/>
  <c r="N96" i="310" a="1"/>
  <c r="N96" i="310" s="1"/>
  <c r="M96" i="310" a="1"/>
  <c r="M96" i="310" s="1"/>
  <c r="L96" i="310" a="1"/>
  <c r="L96" i="310" s="1"/>
  <c r="K96" i="310" a="1"/>
  <c r="K96" i="310" s="1"/>
  <c r="Q34" i="310" a="1"/>
  <c r="Q34" i="310" s="1"/>
  <c r="P34" i="310" a="1"/>
  <c r="P34" i="310" s="1"/>
  <c r="O34" i="310" a="1"/>
  <c r="O34" i="310" s="1"/>
  <c r="N34" i="310" a="1"/>
  <c r="N34" i="310" s="1"/>
  <c r="M34" i="310" a="1"/>
  <c r="M34" i="310" s="1"/>
  <c r="L34" i="310" a="1"/>
  <c r="L34" i="310" s="1"/>
  <c r="K34" i="310" a="1"/>
  <c r="K34" i="310" s="1"/>
  <c r="Q53" i="310" a="1"/>
  <c r="Q53" i="310" s="1"/>
  <c r="P53" i="310" a="1"/>
  <c r="P53" i="310" s="1"/>
  <c r="O53" i="310" a="1"/>
  <c r="O53" i="310" s="1"/>
  <c r="N53" i="310" a="1"/>
  <c r="N53" i="310" s="1"/>
  <c r="M53" i="310" a="1"/>
  <c r="M53" i="310" s="1"/>
  <c r="L53" i="310" a="1"/>
  <c r="L53" i="310" s="1"/>
  <c r="K53" i="310" a="1"/>
  <c r="K53" i="310" s="1"/>
  <c r="Q15" i="310" a="1"/>
  <c r="Q15" i="310" s="1"/>
  <c r="P15" i="310" a="1"/>
  <c r="P15" i="310" s="1"/>
  <c r="O15" i="310" a="1"/>
  <c r="O15" i="310" s="1"/>
  <c r="N15" i="310" a="1"/>
  <c r="N15" i="310" s="1"/>
  <c r="M15" i="310" a="1"/>
  <c r="M15" i="310" s="1"/>
  <c r="L15" i="310" a="1"/>
  <c r="L15" i="310" s="1"/>
  <c r="K15" i="310" a="1"/>
  <c r="K15" i="310" s="1"/>
  <c r="Q95" i="310" a="1"/>
  <c r="Q95" i="310" s="1"/>
  <c r="P95" i="310" a="1"/>
  <c r="P95" i="310" s="1"/>
  <c r="O95" i="310" a="1"/>
  <c r="O95" i="310" s="1"/>
  <c r="N95" i="310" a="1"/>
  <c r="N95" i="310" s="1"/>
  <c r="M95" i="310" a="1"/>
  <c r="M95" i="310" s="1"/>
  <c r="L95" i="310" a="1"/>
  <c r="L95" i="310" s="1"/>
  <c r="K95" i="310" a="1"/>
  <c r="K95" i="310" s="1"/>
  <c r="Q33" i="310" a="1"/>
  <c r="Q33" i="310" s="1"/>
  <c r="P33" i="310" a="1"/>
  <c r="P33" i="310" s="1"/>
  <c r="O33" i="310" a="1"/>
  <c r="O33" i="310" s="1"/>
  <c r="N33" i="310" a="1"/>
  <c r="N33" i="310" s="1"/>
  <c r="M33" i="310" a="1"/>
  <c r="M33" i="310" s="1"/>
  <c r="L33" i="310" a="1"/>
  <c r="L33" i="310" s="1"/>
  <c r="K33" i="310" a="1"/>
  <c r="K33" i="310" s="1"/>
  <c r="Q52" i="310" a="1"/>
  <c r="Q52" i="310" s="1"/>
  <c r="P52" i="310" a="1"/>
  <c r="P52" i="310" s="1"/>
  <c r="O52" i="310" a="1"/>
  <c r="O52" i="310" s="1"/>
  <c r="N52" i="310" a="1"/>
  <c r="N52" i="310" s="1"/>
  <c r="M52" i="310" a="1"/>
  <c r="M52" i="310" s="1"/>
  <c r="L52" i="310" a="1"/>
  <c r="L52" i="310" s="1"/>
  <c r="K52" i="310" a="1"/>
  <c r="K52" i="310" s="1"/>
  <c r="Q14" i="310" a="1"/>
  <c r="Q14" i="310" s="1"/>
  <c r="P14" i="310" a="1"/>
  <c r="P14" i="310" s="1"/>
  <c r="O14" i="310" a="1"/>
  <c r="O14" i="310" s="1"/>
  <c r="N14" i="310" a="1"/>
  <c r="N14" i="310" s="1"/>
  <c r="M14" i="310" a="1"/>
  <c r="M14" i="310" s="1"/>
  <c r="L14" i="310" a="1"/>
  <c r="L14" i="310" s="1"/>
  <c r="K14" i="310" a="1"/>
  <c r="K14" i="310" s="1"/>
  <c r="Q94" i="310" a="1"/>
  <c r="Q94" i="310" s="1"/>
  <c r="P94" i="310" a="1"/>
  <c r="P94" i="310" s="1"/>
  <c r="O94" i="310" a="1"/>
  <c r="O94" i="310" s="1"/>
  <c r="N94" i="310" a="1"/>
  <c r="N94" i="310" s="1"/>
  <c r="M94" i="310" a="1"/>
  <c r="M94" i="310" s="1"/>
  <c r="L94" i="310" a="1"/>
  <c r="L94" i="310" s="1"/>
  <c r="K94" i="310" a="1"/>
  <c r="K94" i="310" s="1"/>
  <c r="Q32" i="310" a="1"/>
  <c r="Q32" i="310" s="1"/>
  <c r="P32" i="310" a="1"/>
  <c r="P32" i="310" s="1"/>
  <c r="O32" i="310" a="1"/>
  <c r="O32" i="310" s="1"/>
  <c r="N32" i="310" a="1"/>
  <c r="N32" i="310" s="1"/>
  <c r="M32" i="310" a="1"/>
  <c r="M32" i="310" s="1"/>
  <c r="L32" i="310" a="1"/>
  <c r="L32" i="310" s="1"/>
  <c r="K32" i="310" a="1"/>
  <c r="K32" i="310" s="1"/>
  <c r="Q51" i="310" a="1"/>
  <c r="Q51" i="310" s="1"/>
  <c r="P51" i="310" a="1"/>
  <c r="P51" i="310" s="1"/>
  <c r="O51" i="310" a="1"/>
  <c r="O51" i="310" s="1"/>
  <c r="N51" i="310" a="1"/>
  <c r="N51" i="310" s="1"/>
  <c r="M51" i="310" a="1"/>
  <c r="M51" i="310" s="1"/>
  <c r="L51" i="310" a="1"/>
  <c r="L51" i="310" s="1"/>
  <c r="K51" i="310" a="1"/>
  <c r="K51" i="310" s="1"/>
  <c r="Q13" i="310" a="1"/>
  <c r="Q13" i="310" s="1"/>
  <c r="P13" i="310" a="1"/>
  <c r="P13" i="310" s="1"/>
  <c r="O13" i="310" a="1"/>
  <c r="O13" i="310" s="1"/>
  <c r="N13" i="310" a="1"/>
  <c r="N13" i="310" s="1"/>
  <c r="M13" i="310" a="1"/>
  <c r="M13" i="310" s="1"/>
  <c r="L13" i="310" a="1"/>
  <c r="L13" i="310" s="1"/>
  <c r="K13" i="310" a="1"/>
  <c r="K13" i="310" s="1"/>
  <c r="Q93" i="310" a="1"/>
  <c r="Q93" i="310" s="1"/>
  <c r="P93" i="310" a="1"/>
  <c r="P93" i="310" s="1"/>
  <c r="O93" i="310" a="1"/>
  <c r="O93" i="310" s="1"/>
  <c r="N93" i="310" a="1"/>
  <c r="N93" i="310" s="1"/>
  <c r="M93" i="310" a="1"/>
  <c r="M93" i="310" s="1"/>
  <c r="L93" i="310" a="1"/>
  <c r="L93" i="310" s="1"/>
  <c r="K93" i="310" a="1"/>
  <c r="K93" i="310" s="1"/>
  <c r="C60" i="315"/>
  <c r="C59" i="315"/>
  <c r="I49" i="308" s="1" a="1"/>
  <c r="I49" i="308" s="1"/>
  <c r="AK49" i="308" s="1"/>
  <c r="C57" i="315"/>
  <c r="C52" i="315"/>
  <c r="C51" i="315"/>
  <c r="C58" i="315"/>
  <c r="C65" i="315"/>
  <c r="Q48" i="315"/>
  <c r="C82" i="315" a="1"/>
  <c r="C82" i="315" s="1"/>
  <c r="M82" i="315" s="1"/>
  <c r="P38" i="315"/>
  <c r="C64" i="315" a="1"/>
  <c r="P36" i="315"/>
  <c r="O38" i="315"/>
  <c r="C63" i="315" a="1"/>
  <c r="O36" i="315"/>
  <c r="M38" i="315"/>
  <c r="C61" i="315" a="1"/>
  <c r="M36" i="315"/>
  <c r="C77" i="315" a="1"/>
  <c r="C77" i="315" s="1"/>
  <c r="M77" i="315" s="1"/>
  <c r="L48" i="315"/>
  <c r="C76" i="315" a="1"/>
  <c r="C76" i="315" s="1"/>
  <c r="M76" i="315" s="1"/>
  <c r="K48" i="315"/>
  <c r="C75" i="315" a="1"/>
  <c r="C75" i="315" s="1"/>
  <c r="M75" i="315" s="1"/>
  <c r="J48" i="315"/>
  <c r="C74" i="315" a="1"/>
  <c r="C74" i="315" s="1"/>
  <c r="M74" i="315" s="1"/>
  <c r="I48" i="315"/>
  <c r="C73" i="315" a="1"/>
  <c r="C73" i="315" s="1"/>
  <c r="M73" i="315" s="1"/>
  <c r="H48" i="315"/>
  <c r="C56" i="315"/>
  <c r="C72" i="315" a="1"/>
  <c r="C72" i="315" s="1"/>
  <c r="M72" i="315" s="1"/>
  <c r="G48" i="315"/>
  <c r="C55" i="315"/>
  <c r="C71" i="315" a="1"/>
  <c r="C71" i="315" s="1"/>
  <c r="M71" i="315" s="1"/>
  <c r="F48" i="315"/>
  <c r="C54" i="315"/>
  <c r="M70" i="315"/>
  <c r="E48" i="315"/>
  <c r="C53" i="315"/>
  <c r="J31" i="234"/>
  <c r="C69" i="315" a="1"/>
  <c r="C69" i="315" s="1"/>
  <c r="M69" i="315" s="1"/>
  <c r="D48" i="315"/>
  <c r="C68" i="315" a="1"/>
  <c r="C68" i="315" s="1"/>
  <c r="C48" i="315"/>
  <c r="I28" i="308" l="1" a="1"/>
  <c r="I28" i="308" s="1"/>
  <c r="I27" i="308" a="1"/>
  <c r="I27" i="308" s="1"/>
  <c r="I26" i="308" a="1"/>
  <c r="I26" i="308" s="1"/>
  <c r="I25" i="308" a="1"/>
  <c r="I25" i="308" s="1"/>
  <c r="I24" i="308" a="1"/>
  <c r="I24" i="308" s="1"/>
  <c r="I32" i="308" a="1"/>
  <c r="I32" i="308" s="1"/>
  <c r="I31" i="308" a="1"/>
  <c r="I31" i="308" s="1"/>
  <c r="I30" i="308" a="1"/>
  <c r="I30" i="308" s="1"/>
  <c r="I29" i="308" a="1"/>
  <c r="I29" i="308" s="1"/>
  <c r="J55" i="310" a="1"/>
  <c r="J55" i="310" s="1"/>
  <c r="I36" i="308" a="1"/>
  <c r="I36" i="308" s="1"/>
  <c r="I35" i="308" a="1"/>
  <c r="I35" i="308" s="1"/>
  <c r="I34" i="308" a="1"/>
  <c r="I34" i="308" s="1"/>
  <c r="AB34" i="308" s="1"/>
  <c r="I33" i="308" a="1"/>
  <c r="I33" i="308" s="1"/>
  <c r="I41" i="308" a="1"/>
  <c r="I41" i="308" s="1"/>
  <c r="I40" i="308" a="1"/>
  <c r="I40" i="308" s="1"/>
  <c r="I39" i="308" a="1"/>
  <c r="I39" i="308" s="1"/>
  <c r="I38" i="308" a="1"/>
  <c r="I38" i="308" s="1"/>
  <c r="I37" i="308" a="1"/>
  <c r="I37" i="308" s="1"/>
  <c r="I48" i="308" a="1"/>
  <c r="I48" i="308" s="1"/>
  <c r="I47" i="308" a="1"/>
  <c r="I47" i="308" s="1"/>
  <c r="I46" i="308" a="1"/>
  <c r="I46" i="308" s="1"/>
  <c r="I20" i="308" a="1"/>
  <c r="I20" i="308" s="1"/>
  <c r="U20" i="308" s="1"/>
  <c r="I21" i="308" a="1"/>
  <c r="I21" i="308" s="1"/>
  <c r="I23" i="308" a="1"/>
  <c r="I23" i="308" s="1"/>
  <c r="W23" i="308" s="1"/>
  <c r="I22" i="308" a="1"/>
  <c r="I22" i="308" s="1"/>
  <c r="I45" i="308" a="1"/>
  <c r="I45" i="308" s="1"/>
  <c r="I44" i="308" a="1"/>
  <c r="I44" i="308" s="1"/>
  <c r="I43" i="308" a="1"/>
  <c r="I43" i="308" s="1"/>
  <c r="AI43" i="308" s="1"/>
  <c r="I42" i="308" a="1"/>
  <c r="I42" i="308" s="1"/>
  <c r="AY49" i="308"/>
  <c r="AX49" i="308"/>
  <c r="AW49" i="308"/>
  <c r="AV49" i="308"/>
  <c r="AU49" i="308"/>
  <c r="AT49" i="308"/>
  <c r="AS49" i="308"/>
  <c r="AR49" i="308"/>
  <c r="AQ49" i="308"/>
  <c r="AP49" i="308"/>
  <c r="AO49" i="308"/>
  <c r="AN49" i="308"/>
  <c r="AM49" i="308"/>
  <c r="AL49" i="308"/>
  <c r="AJ49" i="308"/>
  <c r="AI49" i="308"/>
  <c r="AH49" i="308"/>
  <c r="AG49" i="308"/>
  <c r="AF49" i="308"/>
  <c r="AE49" i="308"/>
  <c r="AD49" i="308"/>
  <c r="AC49" i="308"/>
  <c r="AB49" i="308"/>
  <c r="AA49" i="308"/>
  <c r="Z49" i="308"/>
  <c r="Y49" i="308"/>
  <c r="X49" i="308"/>
  <c r="W49" i="308"/>
  <c r="V49" i="308"/>
  <c r="U49" i="308"/>
  <c r="P21" i="308" a="1"/>
  <c r="P21" i="308" s="1"/>
  <c r="O21" i="308" a="1"/>
  <c r="O21" i="308" s="1"/>
  <c r="N21" i="308" a="1"/>
  <c r="N21" i="308" s="1"/>
  <c r="M21" i="308" a="1"/>
  <c r="M21" i="308" s="1"/>
  <c r="L21" i="308" a="1"/>
  <c r="L21" i="308" s="1"/>
  <c r="K21" i="308" a="1"/>
  <c r="K21" i="308" s="1"/>
  <c r="J21" i="308" a="1"/>
  <c r="J21" i="308" s="1"/>
  <c r="P20" i="308" a="1"/>
  <c r="P20" i="308" s="1"/>
  <c r="O20" i="308" a="1"/>
  <c r="O20" i="308" s="1"/>
  <c r="N20" i="308" a="1"/>
  <c r="N20" i="308" s="1"/>
  <c r="M20" i="308" a="1"/>
  <c r="M20" i="308" s="1"/>
  <c r="L20" i="308" a="1"/>
  <c r="L20" i="308" s="1"/>
  <c r="K20" i="308" a="1"/>
  <c r="K20" i="308" s="1"/>
  <c r="J20" i="308" a="1"/>
  <c r="J20" i="308" s="1"/>
  <c r="S28" i="308" a="1"/>
  <c r="S28" i="308" s="1"/>
  <c r="T117" i="310"/>
  <c r="U116" i="310" a="1"/>
  <c r="U116" i="310" s="1"/>
  <c r="U115" i="310" a="1"/>
  <c r="U115" i="310" s="1"/>
  <c r="U158" i="310"/>
  <c r="U183" i="310"/>
  <c r="V184" i="310" s="1"/>
  <c r="O29" i="234"/>
  <c r="V89" i="310" a="1"/>
  <c r="V89" i="310" s="1"/>
  <c r="T29" i="234"/>
  <c r="V186" i="310"/>
  <c r="AC62" i="307"/>
  <c r="AC57" i="307"/>
  <c r="AD18" i="307"/>
  <c r="W5" i="310"/>
  <c r="W185" i="310" s="1" a="1"/>
  <c r="W185" i="310" s="1"/>
  <c r="AI11" i="308"/>
  <c r="AH14" i="308"/>
  <c r="S48" i="308" a="1"/>
  <c r="S48" i="308" s="1"/>
  <c r="J34" i="310" a="1"/>
  <c r="J34" i="310" s="1"/>
  <c r="J53" i="310" a="1"/>
  <c r="J53" i="310" s="1"/>
  <c r="J15" i="310" a="1"/>
  <c r="J15" i="310" s="1"/>
  <c r="J95" i="310" a="1"/>
  <c r="J95" i="310" s="1"/>
  <c r="J35" i="310" a="1"/>
  <c r="J35" i="310" s="1"/>
  <c r="J54" i="310" a="1"/>
  <c r="J54" i="310" s="1"/>
  <c r="J16" i="310" a="1"/>
  <c r="J16" i="310" s="1"/>
  <c r="J96" i="310" a="1"/>
  <c r="J96" i="310" s="1"/>
  <c r="J36" i="310" a="1"/>
  <c r="J36" i="310" s="1"/>
  <c r="J17" i="310" a="1"/>
  <c r="J17" i="310" s="1"/>
  <c r="J97" i="310" a="1"/>
  <c r="J97" i="310" s="1"/>
  <c r="J37" i="310" a="1"/>
  <c r="J37" i="310" s="1"/>
  <c r="J56" i="310" a="1"/>
  <c r="J56" i="310" s="1"/>
  <c r="J18" i="310" a="1"/>
  <c r="J18" i="310" s="1"/>
  <c r="J98" i="310" a="1"/>
  <c r="J98" i="310" s="1"/>
  <c r="Q42" i="310" a="1"/>
  <c r="Q42" i="310" s="1"/>
  <c r="P42" i="310" a="1"/>
  <c r="P42" i="310" s="1"/>
  <c r="O42" i="310" a="1"/>
  <c r="O42" i="310" s="1"/>
  <c r="N42" i="310" a="1"/>
  <c r="N42" i="310" s="1"/>
  <c r="M42" i="310" a="1"/>
  <c r="M42" i="310" s="1"/>
  <c r="L42" i="310" a="1"/>
  <c r="L42" i="310" s="1"/>
  <c r="K42" i="310" a="1"/>
  <c r="K42" i="310" s="1"/>
  <c r="Q61" i="310" a="1"/>
  <c r="Q61" i="310" s="1"/>
  <c r="P61" i="310" a="1"/>
  <c r="P61" i="310" s="1"/>
  <c r="O61" i="310" a="1"/>
  <c r="O61" i="310" s="1"/>
  <c r="N61" i="310" a="1"/>
  <c r="N61" i="310" s="1"/>
  <c r="M61" i="310" a="1"/>
  <c r="M61" i="310" s="1"/>
  <c r="L61" i="310" a="1"/>
  <c r="L61" i="310" s="1"/>
  <c r="K61" i="310" a="1"/>
  <c r="K61" i="310" s="1"/>
  <c r="Q23" i="310" a="1"/>
  <c r="Q23" i="310" s="1"/>
  <c r="P23" i="310" a="1"/>
  <c r="P23" i="310" s="1"/>
  <c r="O23" i="310" a="1"/>
  <c r="O23" i="310" s="1"/>
  <c r="N23" i="310" a="1"/>
  <c r="N23" i="310" s="1"/>
  <c r="M23" i="310" a="1"/>
  <c r="M23" i="310" s="1"/>
  <c r="L23" i="310" a="1"/>
  <c r="L23" i="310" s="1"/>
  <c r="K23" i="310" a="1"/>
  <c r="K23" i="310" s="1"/>
  <c r="Q103" i="310" a="1"/>
  <c r="Q103" i="310" s="1"/>
  <c r="P103" i="310" a="1"/>
  <c r="P103" i="310" s="1"/>
  <c r="O103" i="310" a="1"/>
  <c r="O103" i="310" s="1"/>
  <c r="N103" i="310" a="1"/>
  <c r="N103" i="310" s="1"/>
  <c r="M103" i="310" a="1"/>
  <c r="M103" i="310" s="1"/>
  <c r="L103" i="310" a="1"/>
  <c r="L103" i="310" s="1"/>
  <c r="K103" i="310" a="1"/>
  <c r="K103" i="310" s="1"/>
  <c r="Q44" i="310" a="1"/>
  <c r="Q44" i="310" s="1"/>
  <c r="P44" i="310" a="1"/>
  <c r="P44" i="310" s="1"/>
  <c r="O44" i="310" a="1"/>
  <c r="O44" i="310" s="1"/>
  <c r="N44" i="310" a="1"/>
  <c r="N44" i="310" s="1"/>
  <c r="M44" i="310" a="1"/>
  <c r="M44" i="310" s="1"/>
  <c r="L44" i="310" a="1"/>
  <c r="L44" i="310" s="1"/>
  <c r="K44" i="310" a="1"/>
  <c r="K44" i="310" s="1"/>
  <c r="Q63" i="310" a="1"/>
  <c r="Q63" i="310" s="1"/>
  <c r="P63" i="310" a="1"/>
  <c r="P63" i="310" s="1"/>
  <c r="O63" i="310" a="1"/>
  <c r="O63" i="310" s="1"/>
  <c r="N63" i="310" a="1"/>
  <c r="N63" i="310" s="1"/>
  <c r="M63" i="310" a="1"/>
  <c r="M63" i="310" s="1"/>
  <c r="L63" i="310" a="1"/>
  <c r="L63" i="310" s="1"/>
  <c r="K63" i="310" a="1"/>
  <c r="K63" i="310" s="1"/>
  <c r="Q25" i="310" a="1"/>
  <c r="Q25" i="310" s="1"/>
  <c r="P25" i="310" a="1"/>
  <c r="P25" i="310" s="1"/>
  <c r="O25" i="310" a="1"/>
  <c r="O25" i="310" s="1"/>
  <c r="N25" i="310" a="1"/>
  <c r="N25" i="310" s="1"/>
  <c r="M25" i="310" a="1"/>
  <c r="M25" i="310" s="1"/>
  <c r="L25" i="310" a="1"/>
  <c r="L25" i="310" s="1"/>
  <c r="K25" i="310" a="1"/>
  <c r="K25" i="310" s="1"/>
  <c r="Q105" i="310" a="1"/>
  <c r="Q105" i="310" s="1"/>
  <c r="P105" i="310" a="1"/>
  <c r="P105" i="310" s="1"/>
  <c r="O105" i="310" a="1"/>
  <c r="O105" i="310" s="1"/>
  <c r="N105" i="310" a="1"/>
  <c r="N105" i="310" s="1"/>
  <c r="M105" i="310" a="1"/>
  <c r="M105" i="310" s="1"/>
  <c r="L105" i="310" a="1"/>
  <c r="L105" i="310" s="1"/>
  <c r="K105" i="310" a="1"/>
  <c r="K105" i="310" s="1"/>
  <c r="Q45" i="310" a="1"/>
  <c r="Q45" i="310" s="1"/>
  <c r="P45" i="310" a="1"/>
  <c r="P45" i="310" s="1"/>
  <c r="O45" i="310" a="1"/>
  <c r="O45" i="310" s="1"/>
  <c r="N45" i="310" a="1"/>
  <c r="N45" i="310" s="1"/>
  <c r="M45" i="310" a="1"/>
  <c r="M45" i="310" s="1"/>
  <c r="L45" i="310" a="1"/>
  <c r="L45" i="310" s="1"/>
  <c r="K45" i="310" a="1"/>
  <c r="K45" i="310" s="1"/>
  <c r="Q64" i="310" a="1"/>
  <c r="Q64" i="310" s="1"/>
  <c r="P64" i="310" a="1"/>
  <c r="P64" i="310" s="1"/>
  <c r="O64" i="310" a="1"/>
  <c r="O64" i="310" s="1"/>
  <c r="N64" i="310" a="1"/>
  <c r="N64" i="310" s="1"/>
  <c r="M64" i="310" a="1"/>
  <c r="M64" i="310" s="1"/>
  <c r="L64" i="310" a="1"/>
  <c r="L64" i="310" s="1"/>
  <c r="K64" i="310" a="1"/>
  <c r="K64" i="310" s="1"/>
  <c r="Q26" i="310" a="1"/>
  <c r="Q26" i="310" s="1"/>
  <c r="P26" i="310" a="1"/>
  <c r="P26" i="310" s="1"/>
  <c r="O26" i="310" a="1"/>
  <c r="O26" i="310" s="1"/>
  <c r="N26" i="310" a="1"/>
  <c r="N26" i="310" s="1"/>
  <c r="M26" i="310" a="1"/>
  <c r="M26" i="310" s="1"/>
  <c r="L26" i="310" a="1"/>
  <c r="L26" i="310" s="1"/>
  <c r="K26" i="310" a="1"/>
  <c r="K26" i="310" s="1"/>
  <c r="Q106" i="310" a="1"/>
  <c r="Q106" i="310" s="1"/>
  <c r="P106" i="310" a="1"/>
  <c r="P106" i="310" s="1"/>
  <c r="O106" i="310" a="1"/>
  <c r="O106" i="310" s="1"/>
  <c r="N106" i="310" a="1"/>
  <c r="N106" i="310" s="1"/>
  <c r="M106" i="310" a="1"/>
  <c r="M106" i="310" s="1"/>
  <c r="L106" i="310" a="1"/>
  <c r="L106" i="310" s="1"/>
  <c r="K106" i="310" a="1"/>
  <c r="K106" i="310" s="1"/>
  <c r="J46" i="310" a="1"/>
  <c r="J46" i="310" s="1"/>
  <c r="J65" i="310" a="1"/>
  <c r="J65" i="310" s="1"/>
  <c r="J27" i="310" a="1"/>
  <c r="J27" i="310" s="1"/>
  <c r="J107" i="310" a="1"/>
  <c r="J107" i="310" s="1"/>
  <c r="J39" i="310" a="1"/>
  <c r="J39" i="310" s="1"/>
  <c r="J58" i="310" a="1"/>
  <c r="J58" i="310" s="1"/>
  <c r="J20" i="310" a="1"/>
  <c r="J20" i="310" s="1"/>
  <c r="J100" i="310" a="1"/>
  <c r="J100" i="310" s="1"/>
  <c r="J32" i="310" a="1"/>
  <c r="J32" i="310" s="1"/>
  <c r="J51" i="310" a="1"/>
  <c r="J51" i="310" s="1"/>
  <c r="J13" i="310" a="1"/>
  <c r="J13" i="310" s="1"/>
  <c r="J93" i="310" a="1"/>
  <c r="J93" i="310" s="1"/>
  <c r="J33" i="310" a="1"/>
  <c r="J33" i="310" s="1"/>
  <c r="J52" i="310" a="1"/>
  <c r="J52" i="310" s="1"/>
  <c r="J14" i="310" a="1"/>
  <c r="J14" i="310" s="1"/>
  <c r="J94" i="310" a="1"/>
  <c r="J94" i="310" s="1"/>
  <c r="J38" i="310" a="1"/>
  <c r="J38" i="310" s="1"/>
  <c r="J57" i="310" a="1"/>
  <c r="J57" i="310" s="1"/>
  <c r="J19" i="310" a="1"/>
  <c r="J19" i="310" s="1"/>
  <c r="J99" i="310" a="1"/>
  <c r="J99" i="310" s="1"/>
  <c r="J40" i="310" a="1"/>
  <c r="J40" i="310" s="1"/>
  <c r="J59" i="310" a="1"/>
  <c r="J59" i="310" s="1"/>
  <c r="J21" i="310" a="1"/>
  <c r="J21" i="310" s="1"/>
  <c r="J101" i="310" a="1"/>
  <c r="J101" i="310" s="1"/>
  <c r="J41" i="310" a="1"/>
  <c r="J41" i="310" s="1"/>
  <c r="J60" i="310" a="1"/>
  <c r="J60" i="310" s="1"/>
  <c r="J22" i="310" a="1"/>
  <c r="J22" i="310" s="1"/>
  <c r="J102" i="310" a="1"/>
  <c r="J102" i="310" s="1"/>
  <c r="M68" i="315"/>
  <c r="C61" i="315"/>
  <c r="C64" i="315"/>
  <c r="M51" i="315"/>
  <c r="M52" i="315"/>
  <c r="M57" i="315"/>
  <c r="M59" i="315"/>
  <c r="M60" i="315"/>
  <c r="C63" i="315"/>
  <c r="M58" i="315"/>
  <c r="M53" i="315"/>
  <c r="M54" i="315"/>
  <c r="M55" i="315"/>
  <c r="M56" i="315"/>
  <c r="M48" i="315"/>
  <c r="C78" i="315" a="1"/>
  <c r="C78" i="315" s="1"/>
  <c r="O48" i="315"/>
  <c r="C80" i="315" a="1"/>
  <c r="C80" i="315" s="1"/>
  <c r="M80" i="315" s="1"/>
  <c r="P48" i="315"/>
  <c r="C81" i="315" a="1"/>
  <c r="C81" i="315" s="1"/>
  <c r="M81" i="315" s="1"/>
  <c r="M65" i="315"/>
  <c r="I31" i="234"/>
  <c r="H31" i="234"/>
  <c r="G31" i="234"/>
  <c r="F31" i="234"/>
  <c r="E31" i="234"/>
  <c r="D31" i="234"/>
  <c r="AY42" i="308" l="1"/>
  <c r="AX42" i="308"/>
  <c r="AW42" i="308"/>
  <c r="AV42" i="308"/>
  <c r="AU42" i="308"/>
  <c r="AT42" i="308"/>
  <c r="AS42" i="308"/>
  <c r="AR42" i="308"/>
  <c r="AQ42" i="308"/>
  <c r="AP42" i="308"/>
  <c r="AO42" i="308"/>
  <c r="AN42" i="308"/>
  <c r="AM42" i="308"/>
  <c r="AL42" i="308"/>
  <c r="AK42" i="308"/>
  <c r="AJ42" i="308"/>
  <c r="AI42" i="308"/>
  <c r="AH42" i="308"/>
  <c r="AG42" i="308"/>
  <c r="AF42" i="308"/>
  <c r="AE42" i="308"/>
  <c r="AD42" i="308"/>
  <c r="AC42" i="308"/>
  <c r="AB42" i="308"/>
  <c r="AA42" i="308"/>
  <c r="Z42" i="308"/>
  <c r="Y42" i="308"/>
  <c r="X42" i="308"/>
  <c r="W42" i="308"/>
  <c r="V42" i="308"/>
  <c r="U42" i="308"/>
  <c r="AY43" i="308"/>
  <c r="AX43" i="308"/>
  <c r="AW43" i="308"/>
  <c r="AV43" i="308"/>
  <c r="AU43" i="308"/>
  <c r="AT43" i="308"/>
  <c r="AS43" i="308"/>
  <c r="AR43" i="308"/>
  <c r="AQ43" i="308"/>
  <c r="AP43" i="308"/>
  <c r="AO43" i="308"/>
  <c r="AN43" i="308"/>
  <c r="AM43" i="308"/>
  <c r="AL43" i="308"/>
  <c r="AK43" i="308"/>
  <c r="AJ43" i="308"/>
  <c r="AH43" i="308"/>
  <c r="AG43" i="308"/>
  <c r="AF43" i="308"/>
  <c r="AE43" i="308"/>
  <c r="AD43" i="308"/>
  <c r="AC43" i="308"/>
  <c r="AB43" i="308"/>
  <c r="AA43" i="308"/>
  <c r="Z43" i="308"/>
  <c r="Y43" i="308"/>
  <c r="X43" i="308"/>
  <c r="W43" i="308"/>
  <c r="V43" i="308"/>
  <c r="U43" i="308"/>
  <c r="AY44" i="308"/>
  <c r="AX44" i="308"/>
  <c r="AW44" i="308"/>
  <c r="AV44" i="308"/>
  <c r="AU44" i="308"/>
  <c r="AT44" i="308"/>
  <c r="AS44" i="308"/>
  <c r="AR44" i="308"/>
  <c r="AQ44" i="308"/>
  <c r="AP44" i="308"/>
  <c r="AO44" i="308"/>
  <c r="AN44" i="308"/>
  <c r="AM44" i="308"/>
  <c r="AL44" i="308"/>
  <c r="AK44" i="308"/>
  <c r="AJ44" i="308"/>
  <c r="AI44" i="308"/>
  <c r="AH44" i="308"/>
  <c r="AG44" i="308"/>
  <c r="AF44" i="308"/>
  <c r="AE44" i="308"/>
  <c r="AD44" i="308"/>
  <c r="AC44" i="308"/>
  <c r="AB44" i="308"/>
  <c r="AA44" i="308"/>
  <c r="Z44" i="308"/>
  <c r="Y44" i="308"/>
  <c r="X44" i="308"/>
  <c r="W44" i="308"/>
  <c r="V44" i="308"/>
  <c r="U44" i="308"/>
  <c r="AY45" i="308"/>
  <c r="AX45" i="308"/>
  <c r="AW45" i="308"/>
  <c r="AV45" i="308"/>
  <c r="AU45" i="308"/>
  <c r="AT45" i="308"/>
  <c r="AS45" i="308"/>
  <c r="AR45" i="308"/>
  <c r="AQ45" i="308"/>
  <c r="AP45" i="308"/>
  <c r="AO45" i="308"/>
  <c r="AN45" i="308"/>
  <c r="AM45" i="308"/>
  <c r="AL45" i="308"/>
  <c r="AK45" i="308"/>
  <c r="AJ45" i="308"/>
  <c r="AI45" i="308"/>
  <c r="AH45" i="308"/>
  <c r="AG45" i="308"/>
  <c r="AF45" i="308"/>
  <c r="AE45" i="308"/>
  <c r="AD45" i="308"/>
  <c r="AC45" i="308"/>
  <c r="AB45" i="308"/>
  <c r="AA45" i="308"/>
  <c r="Z45" i="308"/>
  <c r="Y45" i="308"/>
  <c r="X45" i="308"/>
  <c r="W45" i="308"/>
  <c r="V45" i="308"/>
  <c r="U45" i="308"/>
  <c r="AY22" i="308"/>
  <c r="AX22" i="308"/>
  <c r="AW22" i="308"/>
  <c r="AV22" i="308"/>
  <c r="AU22" i="308"/>
  <c r="AT22" i="308"/>
  <c r="AS22" i="308"/>
  <c r="AR22" i="308"/>
  <c r="AQ22" i="308"/>
  <c r="AP22" i="308"/>
  <c r="AO22" i="308"/>
  <c r="AN22" i="308"/>
  <c r="AM22" i="308"/>
  <c r="AL22" i="308"/>
  <c r="AK22" i="308"/>
  <c r="AJ22" i="308"/>
  <c r="AI22" i="308"/>
  <c r="AH22" i="308"/>
  <c r="AG22" i="308"/>
  <c r="AF22" i="308"/>
  <c r="AE22" i="308"/>
  <c r="AD22" i="308"/>
  <c r="AC22" i="308"/>
  <c r="AB22" i="308"/>
  <c r="AA22" i="308"/>
  <c r="Z22" i="308"/>
  <c r="Y22" i="308"/>
  <c r="X22" i="308"/>
  <c r="W22" i="308"/>
  <c r="V22" i="308"/>
  <c r="U22" i="308"/>
  <c r="AY23" i="308"/>
  <c r="AX23" i="308"/>
  <c r="AW23" i="308"/>
  <c r="AV23" i="308"/>
  <c r="AU23" i="308"/>
  <c r="AT23" i="308"/>
  <c r="AS23" i="308"/>
  <c r="AR23" i="308"/>
  <c r="AQ23" i="308"/>
  <c r="AP23" i="308"/>
  <c r="AO23" i="308"/>
  <c r="AN23" i="308"/>
  <c r="AM23" i="308"/>
  <c r="AL23" i="308"/>
  <c r="AK23" i="308"/>
  <c r="AJ23" i="308"/>
  <c r="AI23" i="308"/>
  <c r="AH23" i="308"/>
  <c r="AG23" i="308"/>
  <c r="AF23" i="308"/>
  <c r="AE23" i="308"/>
  <c r="AD23" i="308"/>
  <c r="AC23" i="308"/>
  <c r="AB23" i="308"/>
  <c r="AA23" i="308"/>
  <c r="Z23" i="308"/>
  <c r="Y23" i="308"/>
  <c r="X23" i="308"/>
  <c r="V23" i="308"/>
  <c r="U23" i="308"/>
  <c r="AY21" i="308"/>
  <c r="AX21" i="308"/>
  <c r="AW21" i="308"/>
  <c r="AV21" i="308"/>
  <c r="AU21" i="308"/>
  <c r="AT21" i="308"/>
  <c r="AS21" i="308"/>
  <c r="AR21" i="308"/>
  <c r="AQ21" i="308"/>
  <c r="AP21" i="308"/>
  <c r="AO21" i="308"/>
  <c r="AN21" i="308"/>
  <c r="AM21" i="308"/>
  <c r="AL21" i="308"/>
  <c r="AK21" i="308"/>
  <c r="AJ21" i="308"/>
  <c r="AI21" i="308"/>
  <c r="AH21" i="308"/>
  <c r="AG21" i="308"/>
  <c r="AF21" i="308"/>
  <c r="AE21" i="308"/>
  <c r="AD21" i="308"/>
  <c r="AC21" i="308"/>
  <c r="AB21" i="308"/>
  <c r="AA21" i="308"/>
  <c r="Z21" i="308"/>
  <c r="Y21" i="308"/>
  <c r="X21" i="308"/>
  <c r="W21" i="308"/>
  <c r="V21" i="308"/>
  <c r="U21" i="308"/>
  <c r="AY20" i="308"/>
  <c r="AX20" i="308"/>
  <c r="AW20" i="308"/>
  <c r="AV20" i="308"/>
  <c r="AU20" i="308"/>
  <c r="AT20" i="308"/>
  <c r="AS20" i="308"/>
  <c r="AR20" i="308"/>
  <c r="AQ20" i="308"/>
  <c r="AP20" i="308"/>
  <c r="AO20" i="308"/>
  <c r="AN20" i="308"/>
  <c r="AM20" i="308"/>
  <c r="AL20" i="308"/>
  <c r="AK20" i="308"/>
  <c r="AJ20" i="308"/>
  <c r="AI20" i="308"/>
  <c r="AH20" i="308"/>
  <c r="AG20" i="308"/>
  <c r="AF20" i="308"/>
  <c r="AE20" i="308"/>
  <c r="AD20" i="308"/>
  <c r="AC20" i="308"/>
  <c r="AB20" i="308"/>
  <c r="AA20" i="308"/>
  <c r="Z20" i="308"/>
  <c r="Y20" i="308"/>
  <c r="X20" i="308"/>
  <c r="W20" i="308"/>
  <c r="V20" i="308"/>
  <c r="AY46" i="308"/>
  <c r="AX46" i="308"/>
  <c r="AW46" i="308"/>
  <c r="AV46" i="308"/>
  <c r="AU46" i="308"/>
  <c r="AT46" i="308"/>
  <c r="AS46" i="308"/>
  <c r="AR46" i="308"/>
  <c r="AQ46" i="308"/>
  <c r="AP46" i="308"/>
  <c r="AO46" i="308"/>
  <c r="AN46" i="308"/>
  <c r="AM46" i="308"/>
  <c r="AL46" i="308"/>
  <c r="AK46" i="308"/>
  <c r="AJ46" i="308"/>
  <c r="AI46" i="308"/>
  <c r="AH46" i="308"/>
  <c r="AG46" i="308"/>
  <c r="AF46" i="308"/>
  <c r="AE46" i="308"/>
  <c r="AD46" i="308"/>
  <c r="AC46" i="308"/>
  <c r="AB46" i="308"/>
  <c r="AA46" i="308"/>
  <c r="Z46" i="308"/>
  <c r="Y46" i="308"/>
  <c r="X46" i="308"/>
  <c r="W46" i="308"/>
  <c r="V46" i="308"/>
  <c r="U46" i="308"/>
  <c r="AY47" i="308"/>
  <c r="AX47" i="308"/>
  <c r="AW47" i="308"/>
  <c r="AV47" i="308"/>
  <c r="AU47" i="308"/>
  <c r="AT47" i="308"/>
  <c r="AS47" i="308"/>
  <c r="AR47" i="308"/>
  <c r="AQ47" i="308"/>
  <c r="AP47" i="308"/>
  <c r="AO47" i="308"/>
  <c r="AN47" i="308"/>
  <c r="AM47" i="308"/>
  <c r="AL47" i="308"/>
  <c r="AK47" i="308"/>
  <c r="AJ47" i="308"/>
  <c r="AI47" i="308"/>
  <c r="AH47" i="308"/>
  <c r="AG47" i="308"/>
  <c r="AF47" i="308"/>
  <c r="AE47" i="308"/>
  <c r="AD47" i="308"/>
  <c r="AC47" i="308"/>
  <c r="AB47" i="308"/>
  <c r="AA47" i="308"/>
  <c r="Z47" i="308"/>
  <c r="Y47" i="308"/>
  <c r="X47" i="308"/>
  <c r="W47" i="308"/>
  <c r="V47" i="308"/>
  <c r="U47" i="308"/>
  <c r="AY48" i="308"/>
  <c r="AX48" i="308"/>
  <c r="AW48" i="308"/>
  <c r="AV48" i="308"/>
  <c r="AU48" i="308"/>
  <c r="AT48" i="308"/>
  <c r="AS48" i="308"/>
  <c r="AR48" i="308"/>
  <c r="AQ48" i="308"/>
  <c r="AP48" i="308"/>
  <c r="AO48" i="308"/>
  <c r="AN48" i="308"/>
  <c r="AM48" i="308"/>
  <c r="AL48" i="308"/>
  <c r="AK48" i="308"/>
  <c r="AJ48" i="308"/>
  <c r="AI48" i="308"/>
  <c r="AH48" i="308"/>
  <c r="AG48" i="308"/>
  <c r="AF48" i="308"/>
  <c r="AE48" i="308"/>
  <c r="AD48" i="308"/>
  <c r="AC48" i="308"/>
  <c r="AB48" i="308"/>
  <c r="AA48" i="308"/>
  <c r="Z48" i="308"/>
  <c r="Y48" i="308"/>
  <c r="X48" i="308"/>
  <c r="W48" i="308"/>
  <c r="V48" i="308"/>
  <c r="U48" i="308"/>
  <c r="AY37" i="308"/>
  <c r="AX37" i="308"/>
  <c r="AW37" i="308"/>
  <c r="AV37" i="308"/>
  <c r="AU37" i="308"/>
  <c r="AT37" i="308"/>
  <c r="AS37" i="308"/>
  <c r="AR37" i="308"/>
  <c r="AQ37" i="308"/>
  <c r="AP37" i="308"/>
  <c r="AO37" i="308"/>
  <c r="AN37" i="308"/>
  <c r="AM37" i="308"/>
  <c r="AL37" i="308"/>
  <c r="AK37" i="308"/>
  <c r="AJ37" i="308"/>
  <c r="AI37" i="308"/>
  <c r="AH37" i="308"/>
  <c r="AG37" i="308"/>
  <c r="AF37" i="308"/>
  <c r="AE37" i="308"/>
  <c r="AD37" i="308"/>
  <c r="AC37" i="308"/>
  <c r="AB37" i="308"/>
  <c r="AA37" i="308"/>
  <c r="Z37" i="308"/>
  <c r="Y37" i="308"/>
  <c r="X37" i="308"/>
  <c r="W37" i="308"/>
  <c r="V37" i="308"/>
  <c r="U37" i="308"/>
  <c r="AY38" i="308"/>
  <c r="AX38" i="308"/>
  <c r="AW38" i="308"/>
  <c r="AV38" i="308"/>
  <c r="AU38" i="308"/>
  <c r="AT38" i="308"/>
  <c r="AS38" i="308"/>
  <c r="AR38" i="308"/>
  <c r="AQ38" i="308"/>
  <c r="AP38" i="308"/>
  <c r="AO38" i="308"/>
  <c r="AN38" i="308"/>
  <c r="AM38" i="308"/>
  <c r="AL38" i="308"/>
  <c r="AK38" i="308"/>
  <c r="AJ38" i="308"/>
  <c r="AI38" i="308"/>
  <c r="AH38" i="308"/>
  <c r="AG38" i="308"/>
  <c r="AF38" i="308"/>
  <c r="AE38" i="308"/>
  <c r="AD38" i="308"/>
  <c r="AC38" i="308"/>
  <c r="AB38" i="308"/>
  <c r="AA38" i="308"/>
  <c r="Z38" i="308"/>
  <c r="Y38" i="308"/>
  <c r="X38" i="308"/>
  <c r="W38" i="308"/>
  <c r="V38" i="308"/>
  <c r="U38" i="308"/>
  <c r="AY39" i="308"/>
  <c r="AX39" i="308"/>
  <c r="AW39" i="308"/>
  <c r="AV39" i="308"/>
  <c r="AU39" i="308"/>
  <c r="AT39" i="308"/>
  <c r="AS39" i="308"/>
  <c r="AR39" i="308"/>
  <c r="AQ39" i="308"/>
  <c r="AP39" i="308"/>
  <c r="AO39" i="308"/>
  <c r="AN39" i="308"/>
  <c r="AM39" i="308"/>
  <c r="AL39" i="308"/>
  <c r="AK39" i="308"/>
  <c r="AJ39" i="308"/>
  <c r="AI39" i="308"/>
  <c r="AH39" i="308"/>
  <c r="AG39" i="308"/>
  <c r="AF39" i="308"/>
  <c r="AE39" i="308"/>
  <c r="AD39" i="308"/>
  <c r="AC39" i="308"/>
  <c r="AB39" i="308"/>
  <c r="AA39" i="308"/>
  <c r="Z39" i="308"/>
  <c r="Y39" i="308"/>
  <c r="X39" i="308"/>
  <c r="W39" i="308"/>
  <c r="V39" i="308"/>
  <c r="U39" i="308"/>
  <c r="AY40" i="308"/>
  <c r="AX40" i="308"/>
  <c r="AW40" i="308"/>
  <c r="AV40" i="308"/>
  <c r="AU40" i="308"/>
  <c r="AT40" i="308"/>
  <c r="AS40" i="308"/>
  <c r="AR40" i="308"/>
  <c r="AQ40" i="308"/>
  <c r="AP40" i="308"/>
  <c r="AO40" i="308"/>
  <c r="AN40" i="308"/>
  <c r="AM40" i="308"/>
  <c r="AL40" i="308"/>
  <c r="AK40" i="308"/>
  <c r="AJ40" i="308"/>
  <c r="AI40" i="308"/>
  <c r="AH40" i="308"/>
  <c r="AG40" i="308"/>
  <c r="AF40" i="308"/>
  <c r="AE40" i="308"/>
  <c r="AD40" i="308"/>
  <c r="AC40" i="308"/>
  <c r="AB40" i="308"/>
  <c r="AA40" i="308"/>
  <c r="Z40" i="308"/>
  <c r="Y40" i="308"/>
  <c r="X40" i="308"/>
  <c r="W40" i="308"/>
  <c r="V40" i="308"/>
  <c r="U40" i="308"/>
  <c r="AY41" i="308"/>
  <c r="AX41" i="308"/>
  <c r="AW41" i="308"/>
  <c r="AV41" i="308"/>
  <c r="AU41" i="308"/>
  <c r="AT41" i="308"/>
  <c r="AS41" i="308"/>
  <c r="AR41" i="308"/>
  <c r="AQ41" i="308"/>
  <c r="AP41" i="308"/>
  <c r="AO41" i="308"/>
  <c r="AN41" i="308"/>
  <c r="AM41" i="308"/>
  <c r="AL41" i="308"/>
  <c r="AK41" i="308"/>
  <c r="AJ41" i="308"/>
  <c r="AI41" i="308"/>
  <c r="AH41" i="308"/>
  <c r="AG41" i="308"/>
  <c r="AF41" i="308"/>
  <c r="AE41" i="308"/>
  <c r="AD41" i="308"/>
  <c r="AC41" i="308"/>
  <c r="AB41" i="308"/>
  <c r="AA41" i="308"/>
  <c r="Z41" i="308"/>
  <c r="Y41" i="308"/>
  <c r="X41" i="308"/>
  <c r="W41" i="308"/>
  <c r="V41" i="308"/>
  <c r="U41" i="308"/>
  <c r="AY33" i="308"/>
  <c r="AX33" i="308"/>
  <c r="AW33" i="308"/>
  <c r="AV33" i="308"/>
  <c r="AU33" i="308"/>
  <c r="AT33" i="308"/>
  <c r="AS33" i="308"/>
  <c r="AR33" i="308"/>
  <c r="AQ33" i="308"/>
  <c r="AP33" i="308"/>
  <c r="AO33" i="308"/>
  <c r="AN33" i="308"/>
  <c r="AM33" i="308"/>
  <c r="AL33" i="308"/>
  <c r="AK33" i="308"/>
  <c r="AJ33" i="308"/>
  <c r="AI33" i="308"/>
  <c r="AH33" i="308"/>
  <c r="AG33" i="308"/>
  <c r="AF33" i="308"/>
  <c r="AE33" i="308"/>
  <c r="AD33" i="308"/>
  <c r="AC33" i="308"/>
  <c r="AB33" i="308"/>
  <c r="AA33" i="308"/>
  <c r="Z33" i="308"/>
  <c r="Y33" i="308"/>
  <c r="X33" i="308"/>
  <c r="W33" i="308"/>
  <c r="V33" i="308"/>
  <c r="U33" i="308"/>
  <c r="AY34" i="308"/>
  <c r="AX34" i="308"/>
  <c r="AW34" i="308"/>
  <c r="AV34" i="308"/>
  <c r="AU34" i="308"/>
  <c r="AT34" i="308"/>
  <c r="AS34" i="308"/>
  <c r="AR34" i="308"/>
  <c r="AQ34" i="308"/>
  <c r="AP34" i="308"/>
  <c r="AO34" i="308"/>
  <c r="AN34" i="308"/>
  <c r="AM34" i="308"/>
  <c r="AL34" i="308"/>
  <c r="AK34" i="308"/>
  <c r="AJ34" i="308"/>
  <c r="AI34" i="308"/>
  <c r="AH34" i="308"/>
  <c r="AG34" i="308"/>
  <c r="AF34" i="308"/>
  <c r="AE34" i="308"/>
  <c r="AD34" i="308"/>
  <c r="AC34" i="308"/>
  <c r="AA34" i="308"/>
  <c r="Z34" i="308"/>
  <c r="Y34" i="308"/>
  <c r="X34" i="308"/>
  <c r="W34" i="308"/>
  <c r="V34" i="308"/>
  <c r="U34" i="308"/>
  <c r="AY35" i="308"/>
  <c r="AX35" i="308"/>
  <c r="AW35" i="308"/>
  <c r="AV35" i="308"/>
  <c r="AU35" i="308"/>
  <c r="AT35" i="308"/>
  <c r="AS35" i="308"/>
  <c r="AR35" i="308"/>
  <c r="AQ35" i="308"/>
  <c r="AP35" i="308"/>
  <c r="AO35" i="308"/>
  <c r="AN35" i="308"/>
  <c r="AM35" i="308"/>
  <c r="AL35" i="308"/>
  <c r="AK35" i="308"/>
  <c r="AJ35" i="308"/>
  <c r="AI35" i="308"/>
  <c r="AH35" i="308"/>
  <c r="AG35" i="308"/>
  <c r="AF35" i="308"/>
  <c r="AE35" i="308"/>
  <c r="AD35" i="308"/>
  <c r="AC35" i="308"/>
  <c r="AB35" i="308"/>
  <c r="AA35" i="308"/>
  <c r="Z35" i="308"/>
  <c r="Y35" i="308"/>
  <c r="X35" i="308"/>
  <c r="W35" i="308"/>
  <c r="V35" i="308"/>
  <c r="U35" i="308"/>
  <c r="AY36" i="308"/>
  <c r="AX36" i="308"/>
  <c r="AW36" i="308"/>
  <c r="AV36" i="308"/>
  <c r="AU36" i="308"/>
  <c r="AT36" i="308"/>
  <c r="AS36" i="308"/>
  <c r="AR36" i="308"/>
  <c r="AQ36" i="308"/>
  <c r="AP36" i="308"/>
  <c r="AO36" i="308"/>
  <c r="AN36" i="308"/>
  <c r="AM36" i="308"/>
  <c r="AL36" i="308"/>
  <c r="AK36" i="308"/>
  <c r="AJ36" i="308"/>
  <c r="AI36" i="308"/>
  <c r="AH36" i="308"/>
  <c r="AG36" i="308"/>
  <c r="AF36" i="308"/>
  <c r="AE36" i="308"/>
  <c r="AD36" i="308"/>
  <c r="AC36" i="308"/>
  <c r="AB36" i="308"/>
  <c r="AA36" i="308"/>
  <c r="Z36" i="308"/>
  <c r="Y36" i="308"/>
  <c r="X36" i="308"/>
  <c r="W36" i="308"/>
  <c r="V36" i="308"/>
  <c r="U36" i="308"/>
  <c r="AY29" i="308"/>
  <c r="AX29" i="308"/>
  <c r="AW29" i="308"/>
  <c r="AV29" i="308"/>
  <c r="AU29" i="308"/>
  <c r="AT29" i="308"/>
  <c r="AS29" i="308"/>
  <c r="AR29" i="308"/>
  <c r="AQ29" i="308"/>
  <c r="AP29" i="308"/>
  <c r="AO29" i="308"/>
  <c r="AN29" i="308"/>
  <c r="AM29" i="308"/>
  <c r="AL29" i="308"/>
  <c r="AK29" i="308"/>
  <c r="AJ29" i="308"/>
  <c r="AI29" i="308"/>
  <c r="AH29" i="308"/>
  <c r="AG29" i="308"/>
  <c r="AF29" i="308"/>
  <c r="AE29" i="308"/>
  <c r="AD29" i="308"/>
  <c r="AC29" i="308"/>
  <c r="AB29" i="308"/>
  <c r="AA29" i="308"/>
  <c r="Z29" i="308"/>
  <c r="Y29" i="308"/>
  <c r="X29" i="308"/>
  <c r="W29" i="308"/>
  <c r="V29" i="308"/>
  <c r="U29" i="308"/>
  <c r="AY30" i="308"/>
  <c r="AX30" i="308"/>
  <c r="AW30" i="308"/>
  <c r="AV30" i="308"/>
  <c r="AU30" i="308"/>
  <c r="AT30" i="308"/>
  <c r="AS30" i="308"/>
  <c r="AR30" i="308"/>
  <c r="AQ30" i="308"/>
  <c r="AP30" i="308"/>
  <c r="AO30" i="308"/>
  <c r="AN30" i="308"/>
  <c r="AM30" i="308"/>
  <c r="AL30" i="308"/>
  <c r="AK30" i="308"/>
  <c r="AJ30" i="308"/>
  <c r="AI30" i="308"/>
  <c r="AH30" i="308"/>
  <c r="AG30" i="308"/>
  <c r="AF30" i="308"/>
  <c r="AE30" i="308"/>
  <c r="AD30" i="308"/>
  <c r="AC30" i="308"/>
  <c r="AB30" i="308"/>
  <c r="AA30" i="308"/>
  <c r="Z30" i="308"/>
  <c r="Y30" i="308"/>
  <c r="X30" i="308"/>
  <c r="W30" i="308"/>
  <c r="V30" i="308"/>
  <c r="U30" i="308"/>
  <c r="AY31" i="308"/>
  <c r="AX31" i="308"/>
  <c r="AW31" i="308"/>
  <c r="AV31" i="308"/>
  <c r="AU31" i="308"/>
  <c r="AT31" i="308"/>
  <c r="AS31" i="308"/>
  <c r="AR31" i="308"/>
  <c r="AQ31" i="308"/>
  <c r="AP31" i="308"/>
  <c r="AO31" i="308"/>
  <c r="AN31" i="308"/>
  <c r="AM31" i="308"/>
  <c r="AL31" i="308"/>
  <c r="AK31" i="308"/>
  <c r="AJ31" i="308"/>
  <c r="AI31" i="308"/>
  <c r="AH31" i="308"/>
  <c r="AG31" i="308"/>
  <c r="AF31" i="308"/>
  <c r="AE31" i="308"/>
  <c r="AD31" i="308"/>
  <c r="AC31" i="308"/>
  <c r="AB31" i="308"/>
  <c r="AA31" i="308"/>
  <c r="Z31" i="308"/>
  <c r="Y31" i="308"/>
  <c r="X31" i="308"/>
  <c r="W31" i="308"/>
  <c r="V31" i="308"/>
  <c r="U31" i="308"/>
  <c r="AY32" i="308"/>
  <c r="AX32" i="308"/>
  <c r="AW32" i="308"/>
  <c r="AV32" i="308"/>
  <c r="AU32" i="308"/>
  <c r="AT32" i="308"/>
  <c r="AS32" i="308"/>
  <c r="AR32" i="308"/>
  <c r="AQ32" i="308"/>
  <c r="AP32" i="308"/>
  <c r="AO32" i="308"/>
  <c r="AN32" i="308"/>
  <c r="AM32" i="308"/>
  <c r="AL32" i="308"/>
  <c r="AK32" i="308"/>
  <c r="AJ32" i="308"/>
  <c r="AI32" i="308"/>
  <c r="AH32" i="308"/>
  <c r="AG32" i="308"/>
  <c r="AF32" i="308"/>
  <c r="AE32" i="308"/>
  <c r="AD32" i="308"/>
  <c r="AC32" i="308"/>
  <c r="AB32" i="308"/>
  <c r="AA32" i="308"/>
  <c r="Z32" i="308"/>
  <c r="Y32" i="308"/>
  <c r="X32" i="308"/>
  <c r="W32" i="308"/>
  <c r="V32" i="308"/>
  <c r="U32" i="308"/>
  <c r="AY24" i="308"/>
  <c r="AX24" i="308"/>
  <c r="AW24" i="308"/>
  <c r="AV24" i="308"/>
  <c r="AU24" i="308"/>
  <c r="AT24" i="308"/>
  <c r="AS24" i="308"/>
  <c r="AR24" i="308"/>
  <c r="AQ24" i="308"/>
  <c r="AP24" i="308"/>
  <c r="AO24" i="308"/>
  <c r="AN24" i="308"/>
  <c r="AM24" i="308"/>
  <c r="AL24" i="308"/>
  <c r="AK24" i="308"/>
  <c r="AJ24" i="308"/>
  <c r="AI24" i="308"/>
  <c r="AH24" i="308"/>
  <c r="AG24" i="308"/>
  <c r="AF24" i="308"/>
  <c r="AE24" i="308"/>
  <c r="AD24" i="308"/>
  <c r="AC24" i="308"/>
  <c r="AB24" i="308"/>
  <c r="AA24" i="308"/>
  <c r="Z24" i="308"/>
  <c r="Y24" i="308"/>
  <c r="X24" i="308"/>
  <c r="W24" i="308"/>
  <c r="V24" i="308"/>
  <c r="U24" i="308"/>
  <c r="AY25" i="308"/>
  <c r="AX25" i="308"/>
  <c r="AW25" i="308"/>
  <c r="AV25" i="308"/>
  <c r="AU25" i="308"/>
  <c r="AT25" i="308"/>
  <c r="AS25" i="308"/>
  <c r="AR25" i="308"/>
  <c r="AQ25" i="308"/>
  <c r="AP25" i="308"/>
  <c r="AO25" i="308"/>
  <c r="AN25" i="308"/>
  <c r="AM25" i="308"/>
  <c r="AL25" i="308"/>
  <c r="AK25" i="308"/>
  <c r="AJ25" i="308"/>
  <c r="AI25" i="308"/>
  <c r="AH25" i="308"/>
  <c r="AG25" i="308"/>
  <c r="AF25" i="308"/>
  <c r="AE25" i="308"/>
  <c r="AD25" i="308"/>
  <c r="AC25" i="308"/>
  <c r="AB25" i="308"/>
  <c r="AA25" i="308"/>
  <c r="Z25" i="308"/>
  <c r="Y25" i="308"/>
  <c r="X25" i="308"/>
  <c r="W25" i="308"/>
  <c r="V25" i="308"/>
  <c r="U25" i="308"/>
  <c r="AY26" i="308"/>
  <c r="AX26" i="308"/>
  <c r="AW26" i="308"/>
  <c r="AV26" i="308"/>
  <c r="AU26" i="308"/>
  <c r="AT26" i="308"/>
  <c r="AS26" i="308"/>
  <c r="AR26" i="308"/>
  <c r="AQ26" i="308"/>
  <c r="AP26" i="308"/>
  <c r="AO26" i="308"/>
  <c r="AN26" i="308"/>
  <c r="AM26" i="308"/>
  <c r="AL26" i="308"/>
  <c r="AK26" i="308"/>
  <c r="AJ26" i="308"/>
  <c r="AI26" i="308"/>
  <c r="AH26" i="308"/>
  <c r="AG26" i="308"/>
  <c r="AF26" i="308"/>
  <c r="AE26" i="308"/>
  <c r="AD26" i="308"/>
  <c r="AC26" i="308"/>
  <c r="AB26" i="308"/>
  <c r="AA26" i="308"/>
  <c r="Z26" i="308"/>
  <c r="Y26" i="308"/>
  <c r="X26" i="308"/>
  <c r="W26" i="308"/>
  <c r="V26" i="308"/>
  <c r="U26" i="308"/>
  <c r="AY27" i="308"/>
  <c r="AX27" i="308"/>
  <c r="AW27" i="308"/>
  <c r="AV27" i="308"/>
  <c r="AU27" i="308"/>
  <c r="AT27" i="308"/>
  <c r="AS27" i="308"/>
  <c r="AR27" i="308"/>
  <c r="AQ27" i="308"/>
  <c r="AP27" i="308"/>
  <c r="AO27" i="308"/>
  <c r="AN27" i="308"/>
  <c r="AM27" i="308"/>
  <c r="AL27" i="308"/>
  <c r="AK27" i="308"/>
  <c r="AJ27" i="308"/>
  <c r="AI27" i="308"/>
  <c r="AH27" i="308"/>
  <c r="AG27" i="308"/>
  <c r="AF27" i="308"/>
  <c r="AE27" i="308"/>
  <c r="AD27" i="308"/>
  <c r="AC27" i="308"/>
  <c r="AB27" i="308"/>
  <c r="AA27" i="308"/>
  <c r="Z27" i="308"/>
  <c r="Y27" i="308"/>
  <c r="X27" i="308"/>
  <c r="W27" i="308"/>
  <c r="V27" i="308"/>
  <c r="U27" i="308"/>
  <c r="AY28" i="308"/>
  <c r="AX28" i="308"/>
  <c r="AW28" i="308"/>
  <c r="AV28" i="308"/>
  <c r="AU28" i="308"/>
  <c r="AT28" i="308"/>
  <c r="AS28" i="308"/>
  <c r="AR28" i="308"/>
  <c r="AQ28" i="308"/>
  <c r="AP28" i="308"/>
  <c r="AO28" i="308"/>
  <c r="AN28" i="308"/>
  <c r="AM28" i="308"/>
  <c r="AL28" i="308"/>
  <c r="AK28" i="308"/>
  <c r="AJ28" i="308"/>
  <c r="AI28" i="308"/>
  <c r="AH28" i="308"/>
  <c r="AG28" i="308"/>
  <c r="AF28" i="308"/>
  <c r="AE28" i="308"/>
  <c r="AD28" i="308"/>
  <c r="AC28" i="308"/>
  <c r="AB28" i="308"/>
  <c r="AA28" i="308"/>
  <c r="Z28" i="308"/>
  <c r="Y28" i="308"/>
  <c r="X28" i="308"/>
  <c r="W28" i="308"/>
  <c r="V28" i="308"/>
  <c r="U28" i="308"/>
  <c r="U117" i="310"/>
  <c r="V116" i="310" a="1"/>
  <c r="V116" i="310" s="1"/>
  <c r="V115" i="310" a="1"/>
  <c r="V115" i="310" s="1"/>
  <c r="V158" i="310"/>
  <c r="V183" i="310"/>
  <c r="W184" i="310" s="1"/>
  <c r="AI14" i="308"/>
  <c r="AJ11" i="308"/>
  <c r="W89" i="310" a="1"/>
  <c r="W89" i="310" s="1"/>
  <c r="P29" i="234"/>
  <c r="U29" i="234"/>
  <c r="W186" i="310"/>
  <c r="AD62" i="307"/>
  <c r="AE18" i="307"/>
  <c r="AD57" i="307"/>
  <c r="X5" i="310"/>
  <c r="X185" i="310" s="1" a="1"/>
  <c r="X185" i="310" s="1"/>
  <c r="J44" i="310" a="1"/>
  <c r="J44" i="310" s="1"/>
  <c r="J63" i="310" a="1"/>
  <c r="J63" i="310" s="1"/>
  <c r="J25" i="310" a="1"/>
  <c r="J25" i="310" s="1"/>
  <c r="J105" i="310" a="1"/>
  <c r="J105" i="310" s="1"/>
  <c r="J45" i="310" a="1"/>
  <c r="J45" i="310" s="1"/>
  <c r="J64" i="310" a="1"/>
  <c r="J64" i="310" s="1"/>
  <c r="J26" i="310" a="1"/>
  <c r="J26" i="310" s="1"/>
  <c r="J106" i="310" a="1"/>
  <c r="J106" i="310" s="1"/>
  <c r="J42" i="310" a="1"/>
  <c r="J42" i="310" s="1"/>
  <c r="J61" i="310" a="1"/>
  <c r="J61" i="310" s="1"/>
  <c r="J23" i="310" a="1"/>
  <c r="J23" i="310" s="1"/>
  <c r="J103" i="310" a="1"/>
  <c r="J103" i="310" s="1"/>
  <c r="S47" i="308" a="1"/>
  <c r="S47" i="308" s="1"/>
  <c r="S46" i="308" a="1"/>
  <c r="S46" i="308" s="1"/>
  <c r="S45" i="308" a="1"/>
  <c r="S45" i="308" s="1"/>
  <c r="S30" i="308" a="1"/>
  <c r="S30" i="308" s="1"/>
  <c r="S29" i="308" a="1"/>
  <c r="S29" i="308" s="1"/>
  <c r="M78" i="315"/>
  <c r="S31" i="308" a="1"/>
  <c r="S31" i="308" s="1"/>
  <c r="M64" i="315"/>
  <c r="M61" i="315"/>
  <c r="M63" i="315"/>
  <c r="C31" i="234"/>
  <c r="R31" i="234" s="1"/>
  <c r="S49" i="308" a="1"/>
  <c r="S49" i="308" s="1"/>
  <c r="S20" i="308" a="1"/>
  <c r="S20" i="308" s="1"/>
  <c r="S27" i="308" a="1"/>
  <c r="S27" i="308" s="1"/>
  <c r="S26" i="308" a="1"/>
  <c r="S26" i="308" s="1"/>
  <c r="S21" i="308" a="1"/>
  <c r="S21" i="308" s="1"/>
  <c r="S25" i="308" a="1"/>
  <c r="S25" i="308" s="1"/>
  <c r="S22" i="308" a="1"/>
  <c r="S22" i="308" s="1"/>
  <c r="S24" i="308" a="1"/>
  <c r="S24" i="308" s="1"/>
  <c r="S23" i="308" a="1"/>
  <c r="S23" i="308" s="1"/>
  <c r="V117" i="310" l="1"/>
  <c r="W116" i="310" a="1"/>
  <c r="W116" i="310" s="1"/>
  <c r="W115" i="310" a="1"/>
  <c r="W115" i="310" s="1"/>
  <c r="W158" i="310"/>
  <c r="W183" i="310"/>
  <c r="X184" i="310" s="1"/>
  <c r="X89" i="310" a="1"/>
  <c r="X89" i="310" s="1"/>
  <c r="Q29" i="234"/>
  <c r="V29" i="234"/>
  <c r="X186" i="310"/>
  <c r="AF18" i="307"/>
  <c r="AE62" i="307"/>
  <c r="AE57" i="307"/>
  <c r="Y5" i="310"/>
  <c r="Y185" i="310" s="1" a="1"/>
  <c r="Y185" i="310" s="1"/>
  <c r="AJ14" i="308"/>
  <c r="AK11" i="308"/>
  <c r="V60" i="308"/>
  <c r="W60" i="308"/>
  <c r="L175" i="310" s="1"/>
  <c r="L176" i="310" s="1"/>
  <c r="X60" i="308"/>
  <c r="M175" i="310" s="1"/>
  <c r="M176" i="310" s="1"/>
  <c r="Z60" i="308"/>
  <c r="O175" i="310" s="1"/>
  <c r="O176" i="310" s="1"/>
  <c r="AA60" i="308"/>
  <c r="P175" i="310" s="1"/>
  <c r="P176" i="310" s="1"/>
  <c r="AB60" i="308"/>
  <c r="Q175" i="310" s="1"/>
  <c r="Q176" i="310" s="1"/>
  <c r="AC60" i="308"/>
  <c r="R175" i="310" s="1"/>
  <c r="R176" i="310" s="1"/>
  <c r="AD60" i="308"/>
  <c r="S175" i="310" s="1"/>
  <c r="S176" i="310" s="1"/>
  <c r="AE60" i="308"/>
  <c r="T175" i="310" s="1"/>
  <c r="T176" i="310" s="1"/>
  <c r="AF60" i="308"/>
  <c r="U175" i="310" s="1"/>
  <c r="U176" i="310" s="1"/>
  <c r="AG60" i="308"/>
  <c r="V175" i="310" s="1"/>
  <c r="V176" i="310" s="1"/>
  <c r="AH60" i="308"/>
  <c r="W175" i="310" s="1"/>
  <c r="W176" i="310" s="1"/>
  <c r="AI60" i="308"/>
  <c r="X175" i="310" s="1"/>
  <c r="X176" i="310" s="1"/>
  <c r="AJ60" i="308"/>
  <c r="Y175" i="310" s="1"/>
  <c r="Y176" i="310" s="1"/>
  <c r="AK60" i="308"/>
  <c r="Z175" i="310" s="1"/>
  <c r="Z176" i="310" s="1"/>
  <c r="AL60" i="308"/>
  <c r="AA175" i="310" s="1"/>
  <c r="AA176" i="310" s="1"/>
  <c r="AM60" i="308"/>
  <c r="AB175" i="310" s="1"/>
  <c r="AB176" i="310" s="1"/>
  <c r="AN60" i="308"/>
  <c r="AC175" i="310" s="1"/>
  <c r="AC176" i="310" s="1"/>
  <c r="AO60" i="308"/>
  <c r="AD175" i="310" s="1"/>
  <c r="AD176" i="310" s="1"/>
  <c r="AP60" i="308"/>
  <c r="AE175" i="310" s="1"/>
  <c r="AE176" i="310" s="1"/>
  <c r="AQ60" i="308"/>
  <c r="AF175" i="310" s="1"/>
  <c r="AF176" i="310" s="1"/>
  <c r="AR60" i="308"/>
  <c r="AG175" i="310" s="1"/>
  <c r="AG176" i="310" s="1"/>
  <c r="AS60" i="308"/>
  <c r="AH175" i="310" s="1"/>
  <c r="AH176" i="310" s="1"/>
  <c r="AT60" i="308"/>
  <c r="AI175" i="310" s="1"/>
  <c r="AI176" i="310" s="1"/>
  <c r="AU60" i="308"/>
  <c r="AJ175" i="310" s="1"/>
  <c r="AJ176" i="310" s="1"/>
  <c r="AV60" i="308"/>
  <c r="AK175" i="310" s="1"/>
  <c r="AK176" i="310" s="1"/>
  <c r="AW60" i="308"/>
  <c r="AL175" i="310" s="1"/>
  <c r="AL176" i="310" s="1"/>
  <c r="AX60" i="308"/>
  <c r="AM175" i="310" s="1"/>
  <c r="AM176" i="310" s="1"/>
  <c r="AY60" i="308"/>
  <c r="AN175" i="310" s="1"/>
  <c r="AN176" i="310" s="1"/>
  <c r="Z56" i="308"/>
  <c r="O170" i="310" s="1"/>
  <c r="AA56" i="308"/>
  <c r="P170" i="310" s="1"/>
  <c r="AB56" i="308"/>
  <c r="Q170" i="310" s="1"/>
  <c r="AC56" i="308"/>
  <c r="R170" i="310" s="1"/>
  <c r="AD56" i="308"/>
  <c r="S170" i="310" s="1"/>
  <c r="AE56" i="308"/>
  <c r="T170" i="310" s="1"/>
  <c r="AF56" i="308"/>
  <c r="U170" i="310" s="1"/>
  <c r="AG56" i="308"/>
  <c r="V170" i="310" s="1"/>
  <c r="AH56" i="308"/>
  <c r="W170" i="310" s="1"/>
  <c r="AI56" i="308"/>
  <c r="X170" i="310" s="1"/>
  <c r="AJ56" i="308"/>
  <c r="Y170" i="310" s="1"/>
  <c r="AK56" i="308"/>
  <c r="Z170" i="310" s="1"/>
  <c r="AL56" i="308"/>
  <c r="AA170" i="310" s="1"/>
  <c r="AM56" i="308"/>
  <c r="AB170" i="310" s="1"/>
  <c r="AN56" i="308"/>
  <c r="AC170" i="310" s="1"/>
  <c r="AO56" i="308"/>
  <c r="AD170" i="310" s="1"/>
  <c r="AP56" i="308"/>
  <c r="AE170" i="310" s="1"/>
  <c r="AQ56" i="308"/>
  <c r="AF170" i="310" s="1"/>
  <c r="AR56" i="308"/>
  <c r="AG170" i="310" s="1"/>
  <c r="AS56" i="308"/>
  <c r="AH170" i="310" s="1"/>
  <c r="AT56" i="308"/>
  <c r="AI170" i="310" s="1"/>
  <c r="AU56" i="308"/>
  <c r="AJ170" i="310" s="1"/>
  <c r="AV56" i="308"/>
  <c r="AK170" i="310" s="1"/>
  <c r="AW56" i="308"/>
  <c r="AL170" i="310" s="1"/>
  <c r="AX56" i="308"/>
  <c r="AM170" i="310" s="1"/>
  <c r="AY56" i="308"/>
  <c r="AN170" i="310" s="1"/>
  <c r="W117" i="310" l="1"/>
  <c r="X116" i="310" a="1"/>
  <c r="X116" i="310" s="1"/>
  <c r="X115" i="310" a="1"/>
  <c r="X115" i="310" s="1"/>
  <c r="X158" i="310"/>
  <c r="X183" i="310"/>
  <c r="Y184" i="310" s="1"/>
  <c r="AK14" i="308"/>
  <c r="AL11" i="308"/>
  <c r="Y89" i="310" a="1"/>
  <c r="Y89" i="310" s="1"/>
  <c r="Y116" i="310" s="1" a="1"/>
  <c r="Y116" i="310" s="1"/>
  <c r="W29" i="234"/>
  <c r="Y186" i="310"/>
  <c r="AG18" i="307"/>
  <c r="AF57" i="307"/>
  <c r="AF62" i="307"/>
  <c r="Z5" i="310"/>
  <c r="Z185" i="310" s="1" a="1"/>
  <c r="Z185" i="310" s="1"/>
  <c r="O171" i="310"/>
  <c r="P171" i="310"/>
  <c r="Q171" i="310"/>
  <c r="R171" i="310"/>
  <c r="S171" i="310"/>
  <c r="T171" i="310"/>
  <c r="U171" i="310"/>
  <c r="V171" i="310"/>
  <c r="W171" i="310"/>
  <c r="X171" i="310"/>
  <c r="Y171" i="310"/>
  <c r="Z171" i="310"/>
  <c r="AA171" i="310"/>
  <c r="AB171" i="310"/>
  <c r="AC171" i="310"/>
  <c r="AD171" i="310"/>
  <c r="AE171" i="310"/>
  <c r="AF171" i="310"/>
  <c r="AG171" i="310"/>
  <c r="AH171" i="310"/>
  <c r="AI171" i="310"/>
  <c r="AJ171" i="310"/>
  <c r="AK171" i="310"/>
  <c r="AL171" i="310"/>
  <c r="AM171" i="310"/>
  <c r="AN171" i="310"/>
  <c r="K175" i="310"/>
  <c r="X117" i="310" l="1"/>
  <c r="Y115" i="310" a="1"/>
  <c r="Y115" i="310" s="1"/>
  <c r="Y158" i="310"/>
  <c r="Y183" i="310"/>
  <c r="Z184" i="310" s="1"/>
  <c r="Y117" i="310"/>
  <c r="Z89" i="310" a="1"/>
  <c r="Z89" i="310" s="1"/>
  <c r="Z116" i="310" s="1" a="1"/>
  <c r="Z116" i="310" s="1"/>
  <c r="X29" i="234"/>
  <c r="Z186" i="310"/>
  <c r="AG57" i="307"/>
  <c r="AH18" i="307"/>
  <c r="AG62" i="307"/>
  <c r="AA5" i="310"/>
  <c r="AA185" i="310" s="1" a="1"/>
  <c r="AA185" i="310" s="1"/>
  <c r="AL14" i="308"/>
  <c r="AM11" i="308"/>
  <c r="K176" i="310"/>
  <c r="N24" i="315"/>
  <c r="Z115" i="310" l="1" a="1"/>
  <c r="Z115" i="310" s="1"/>
  <c r="Z117" i="310" s="1"/>
  <c r="Z158" i="310"/>
  <c r="Z183" i="310"/>
  <c r="AA184" i="310" s="1"/>
  <c r="AA89" i="310" a="1"/>
  <c r="AA89" i="310" s="1"/>
  <c r="AA116" i="310" s="1" a="1"/>
  <c r="AA116" i="310" s="1"/>
  <c r="Y29" i="234"/>
  <c r="AA186" i="310"/>
  <c r="AM14" i="308"/>
  <c r="AN11" i="308"/>
  <c r="AH57" i="307"/>
  <c r="AI18" i="307"/>
  <c r="AH62" i="307"/>
  <c r="AB5" i="310"/>
  <c r="AB185" i="310" s="1" a="1"/>
  <c r="AB185" i="310" s="1"/>
  <c r="N35" i="315"/>
  <c r="N34" i="315"/>
  <c r="N33" i="315"/>
  <c r="N32" i="315"/>
  <c r="N31" i="315"/>
  <c r="N30" i="315"/>
  <c r="N29" i="315"/>
  <c r="N28" i="315"/>
  <c r="N27" i="315"/>
  <c r="N26" i="315"/>
  <c r="AA115" i="310" l="1" a="1"/>
  <c r="AA115" i="310" s="1"/>
  <c r="AA117" i="310" s="1"/>
  <c r="AA158" i="310"/>
  <c r="AA183" i="310"/>
  <c r="AB184" i="310" s="1"/>
  <c r="AI57" i="307"/>
  <c r="AJ18" i="307"/>
  <c r="AI62" i="307"/>
  <c r="AC5" i="310"/>
  <c r="AC185" i="310" s="1" a="1"/>
  <c r="AC185" i="310" s="1"/>
  <c r="AB89" i="310" a="1"/>
  <c r="AB89" i="310" s="1"/>
  <c r="AB116" i="310" s="1" a="1"/>
  <c r="AB116" i="310" s="1"/>
  <c r="Z29" i="234"/>
  <c r="AB186" i="310"/>
  <c r="AO11" i="308"/>
  <c r="AN14" i="308"/>
  <c r="C62" i="315" a="1"/>
  <c r="N38" i="315"/>
  <c r="N39" i="315"/>
  <c r="R39" i="315" s="1"/>
  <c r="N40" i="315"/>
  <c r="R40" i="315" s="1"/>
  <c r="N41" i="315"/>
  <c r="R41" i="315" s="1"/>
  <c r="N42" i="315"/>
  <c r="R42" i="315" s="1"/>
  <c r="N43" i="315"/>
  <c r="R43" i="315" s="1"/>
  <c r="N44" i="315"/>
  <c r="R44" i="315" s="1"/>
  <c r="N45" i="315"/>
  <c r="R45" i="315" s="1"/>
  <c r="N46" i="315"/>
  <c r="R46" i="315" s="1"/>
  <c r="N47" i="315"/>
  <c r="R47" i="315" s="1"/>
  <c r="N36" i="315"/>
  <c r="AB115" i="310" l="1" a="1"/>
  <c r="AB115" i="310" s="1"/>
  <c r="AB117" i="310" s="1"/>
  <c r="AB158" i="310"/>
  <c r="AB183" i="310"/>
  <c r="AC184" i="310" s="1"/>
  <c r="AP11" i="308"/>
  <c r="AO14" i="308"/>
  <c r="AC89" i="310" a="1"/>
  <c r="AC89" i="310" s="1"/>
  <c r="AC116" i="310" s="1" a="1"/>
  <c r="AC116" i="310" s="1"/>
  <c r="AC186" i="310"/>
  <c r="AJ62" i="307"/>
  <c r="AJ57" i="307"/>
  <c r="AK18" i="307"/>
  <c r="AD5" i="310"/>
  <c r="AD185" i="310" s="1" a="1"/>
  <c r="AD185" i="310" s="1"/>
  <c r="Q43" i="310" a="1"/>
  <c r="Q43" i="310" s="1"/>
  <c r="Q47" i="310" s="1"/>
  <c r="P43" i="310" a="1"/>
  <c r="P43" i="310" s="1"/>
  <c r="P47" i="310" s="1"/>
  <c r="O43" i="310" a="1"/>
  <c r="O43" i="310" s="1"/>
  <c r="O47" i="310" s="1"/>
  <c r="N43" i="310" a="1"/>
  <c r="N43" i="310" s="1"/>
  <c r="N47" i="310" s="1"/>
  <c r="M43" i="310" a="1"/>
  <c r="M43" i="310" s="1"/>
  <c r="M47" i="310" s="1"/>
  <c r="L43" i="310" a="1"/>
  <c r="L43" i="310" s="1"/>
  <c r="L47" i="310" s="1"/>
  <c r="K43" i="310" a="1"/>
  <c r="K43" i="310" s="1"/>
  <c r="K47" i="310" s="1"/>
  <c r="Q62" i="310" a="1"/>
  <c r="Q62" i="310" s="1"/>
  <c r="Q66" i="310" s="1"/>
  <c r="P62" i="310" a="1"/>
  <c r="P62" i="310" s="1"/>
  <c r="P66" i="310" s="1"/>
  <c r="O62" i="310" a="1"/>
  <c r="O62" i="310" s="1"/>
  <c r="O66" i="310" s="1"/>
  <c r="N62" i="310" a="1"/>
  <c r="N62" i="310" s="1"/>
  <c r="N66" i="310" s="1"/>
  <c r="M62" i="310" a="1"/>
  <c r="M62" i="310" s="1"/>
  <c r="M66" i="310" s="1"/>
  <c r="L62" i="310" a="1"/>
  <c r="L62" i="310" s="1"/>
  <c r="L66" i="310" s="1"/>
  <c r="K62" i="310" a="1"/>
  <c r="K62" i="310" s="1"/>
  <c r="K66" i="310" s="1"/>
  <c r="Q24" i="310" a="1"/>
  <c r="Q24" i="310" s="1"/>
  <c r="Q28" i="310" s="1"/>
  <c r="P24" i="310" a="1"/>
  <c r="P24" i="310" s="1"/>
  <c r="P28" i="310" s="1"/>
  <c r="O24" i="310" a="1"/>
  <c r="O24" i="310" s="1"/>
  <c r="O28" i="310" s="1"/>
  <c r="N24" i="310" a="1"/>
  <c r="N24" i="310" s="1"/>
  <c r="N28" i="310" s="1"/>
  <c r="M24" i="310" a="1"/>
  <c r="M24" i="310" s="1"/>
  <c r="M28" i="310" s="1"/>
  <c r="L24" i="310" a="1"/>
  <c r="L24" i="310" s="1"/>
  <c r="L28" i="310" s="1"/>
  <c r="K24" i="310" a="1"/>
  <c r="K24" i="310" s="1"/>
  <c r="K28" i="310" s="1"/>
  <c r="Q104" i="310" a="1"/>
  <c r="Q104" i="310" s="1"/>
  <c r="Q108" i="310" s="1"/>
  <c r="P104" i="310" a="1"/>
  <c r="P104" i="310" s="1"/>
  <c r="P108" i="310" s="1"/>
  <c r="O104" i="310" a="1"/>
  <c r="O104" i="310" s="1"/>
  <c r="O108" i="310" s="1"/>
  <c r="N104" i="310" a="1"/>
  <c r="N104" i="310" s="1"/>
  <c r="N108" i="310" s="1"/>
  <c r="M104" i="310" a="1"/>
  <c r="M104" i="310" s="1"/>
  <c r="M108" i="310" s="1"/>
  <c r="L104" i="310" a="1"/>
  <c r="L104" i="310" s="1"/>
  <c r="L108" i="310" s="1"/>
  <c r="K104" i="310" a="1"/>
  <c r="K104" i="310" s="1"/>
  <c r="K108" i="310" s="1"/>
  <c r="S108" i="310"/>
  <c r="R108" i="310"/>
  <c r="S66" i="310"/>
  <c r="R66" i="310"/>
  <c r="S47" i="310"/>
  <c r="R47" i="310"/>
  <c r="S28" i="310"/>
  <c r="R28" i="310"/>
  <c r="C62" i="315"/>
  <c r="N48" i="315"/>
  <c r="C79" i="315" a="1"/>
  <c r="R38" i="315"/>
  <c r="R48" i="315" s="1"/>
  <c r="AC115" i="310" l="1" a="1"/>
  <c r="AC115" i="310" s="1"/>
  <c r="AC117" i="310" s="1"/>
  <c r="AC158" i="310"/>
  <c r="AC183" i="310"/>
  <c r="AD184" i="310" s="1"/>
  <c r="AK62" i="307"/>
  <c r="AK57" i="307"/>
  <c r="AL18" i="307"/>
  <c r="AE5" i="310"/>
  <c r="AE185" i="310" s="1" a="1"/>
  <c r="AE185" i="310" s="1"/>
  <c r="AD89" i="310" a="1"/>
  <c r="AD89" i="310" s="1"/>
  <c r="AD116" i="310" s="1" a="1"/>
  <c r="AD116" i="310" s="1"/>
  <c r="AD186" i="310"/>
  <c r="AQ11" i="308"/>
  <c r="AP14" i="308"/>
  <c r="J43" i="310" a="1"/>
  <c r="J43" i="310" s="1"/>
  <c r="J47" i="310" s="1"/>
  <c r="F47" i="310" s="1"/>
  <c r="J62" i="310" a="1"/>
  <c r="J62" i="310" s="1"/>
  <c r="J66" i="310" s="1"/>
  <c r="L136" i="310" s="1"/>
  <c r="J24" i="310" a="1"/>
  <c r="J24" i="310" s="1"/>
  <c r="J28" i="310" s="1"/>
  <c r="J104" i="310" a="1"/>
  <c r="J104" i="310" s="1"/>
  <c r="J108" i="310" s="1"/>
  <c r="M62" i="315"/>
  <c r="C79" i="315"/>
  <c r="D83" i="315"/>
  <c r="D30" i="234" s="1"/>
  <c r="E83" i="315"/>
  <c r="E30" i="234" s="1"/>
  <c r="F83" i="315"/>
  <c r="F30" i="234" s="1"/>
  <c r="G83" i="315"/>
  <c r="G30" i="234" s="1"/>
  <c r="H83" i="315"/>
  <c r="H30" i="234" s="1"/>
  <c r="I83" i="315"/>
  <c r="I30" i="234" s="1"/>
  <c r="J83" i="315"/>
  <c r="J30" i="234" s="1"/>
  <c r="AN135" i="310" l="1"/>
  <c r="AM135" i="310"/>
  <c r="AL135" i="310"/>
  <c r="AK135" i="310"/>
  <c r="AJ135" i="310"/>
  <c r="AI135" i="310"/>
  <c r="AH135" i="310"/>
  <c r="AG135" i="310"/>
  <c r="AF135" i="310"/>
  <c r="AE135" i="310"/>
  <c r="AD135" i="310"/>
  <c r="AC135" i="310"/>
  <c r="AB135" i="310"/>
  <c r="AA135" i="310"/>
  <c r="Z135" i="310"/>
  <c r="Y135" i="310"/>
  <c r="X135" i="310"/>
  <c r="W135" i="310"/>
  <c r="V135" i="310"/>
  <c r="U135" i="310"/>
  <c r="T135" i="310"/>
  <c r="S135" i="310"/>
  <c r="R135" i="310"/>
  <c r="Q135" i="310"/>
  <c r="P135" i="310"/>
  <c r="O135" i="310"/>
  <c r="N135" i="310"/>
  <c r="M135" i="310"/>
  <c r="L135" i="310"/>
  <c r="K135" i="310"/>
  <c r="AD115" i="310" a="1"/>
  <c r="AD115" i="310" s="1"/>
  <c r="AD117" i="310" s="1"/>
  <c r="AD158" i="310"/>
  <c r="AD183" i="310"/>
  <c r="AE184" i="310" s="1"/>
  <c r="AE89" i="310" a="1"/>
  <c r="AE89" i="310" s="1"/>
  <c r="AE116" i="310" s="1" a="1"/>
  <c r="AE116" i="310" s="1"/>
  <c r="AE186" i="310"/>
  <c r="AQ14" i="308"/>
  <c r="AR11" i="308"/>
  <c r="AL62" i="307"/>
  <c r="AM18" i="307"/>
  <c r="AL57" i="307"/>
  <c r="AF5" i="310"/>
  <c r="AF185" i="310" s="1" a="1"/>
  <c r="AF185" i="310" s="1"/>
  <c r="AN136" i="310"/>
  <c r="AM136" i="310"/>
  <c r="AL136" i="310"/>
  <c r="AK136" i="310"/>
  <c r="AJ136" i="310"/>
  <c r="AI136" i="310"/>
  <c r="AH136" i="310"/>
  <c r="AG136" i="310"/>
  <c r="AF136" i="310"/>
  <c r="AE136" i="310"/>
  <c r="AD136" i="310"/>
  <c r="AC136" i="310"/>
  <c r="AB136" i="310"/>
  <c r="AA136" i="310"/>
  <c r="Z136" i="310"/>
  <c r="Y136" i="310"/>
  <c r="X136" i="310"/>
  <c r="W136" i="310"/>
  <c r="V136" i="310"/>
  <c r="U136" i="310"/>
  <c r="T136" i="310"/>
  <c r="S136" i="310"/>
  <c r="R136" i="310"/>
  <c r="Q136" i="310"/>
  <c r="P136" i="310"/>
  <c r="O136" i="310"/>
  <c r="N136" i="310"/>
  <c r="M136" i="310"/>
  <c r="K136" i="310"/>
  <c r="F66" i="310"/>
  <c r="F28" i="310"/>
  <c r="F108" i="310"/>
  <c r="M79" i="315"/>
  <c r="C83" i="315"/>
  <c r="C30" i="234" s="1"/>
  <c r="R30" i="234" s="1"/>
  <c r="AE115" i="310" l="1" a="1"/>
  <c r="AE115" i="310" s="1"/>
  <c r="AE117" i="310" s="1"/>
  <c r="AE158" i="310"/>
  <c r="AE183" i="310"/>
  <c r="AF184" i="310" s="1"/>
  <c r="AR14" i="308"/>
  <c r="AS11" i="308"/>
  <c r="AF89" i="310" a="1"/>
  <c r="AF89" i="310" s="1"/>
  <c r="AF116" i="310" s="1" a="1"/>
  <c r="AF116" i="310" s="1"/>
  <c r="AF186" i="310"/>
  <c r="AN18" i="307"/>
  <c r="AM62" i="307"/>
  <c r="AM57" i="307"/>
  <c r="AG5" i="310"/>
  <c r="AG185" i="310" s="1" a="1"/>
  <c r="AG185" i="310" s="1"/>
  <c r="M83" i="315"/>
  <c r="B27" i="234" s="1"/>
  <c r="Y64" i="308"/>
  <c r="N180" i="310" s="1"/>
  <c r="N181" i="310" s="1"/>
  <c r="X64" i="308"/>
  <c r="M180" i="310" s="1"/>
  <c r="M181" i="310" s="1"/>
  <c r="W64" i="308"/>
  <c r="L180" i="310" s="1"/>
  <c r="L181" i="310" s="1"/>
  <c r="Y56" i="308"/>
  <c r="N170" i="310" s="1"/>
  <c r="Z64" i="308"/>
  <c r="AA64" i="308"/>
  <c r="P180" i="310" s="1"/>
  <c r="AB64" i="308"/>
  <c r="Q180" i="310" s="1"/>
  <c r="Q152" i="310" s="1"/>
  <c r="AC64" i="308"/>
  <c r="R180" i="310" s="1"/>
  <c r="AD64" i="308"/>
  <c r="S180" i="310" s="1"/>
  <c r="S152" i="310" s="1"/>
  <c r="AE64" i="308"/>
  <c r="T180" i="310" s="1"/>
  <c r="AF64" i="308"/>
  <c r="U180" i="310" s="1"/>
  <c r="AG64" i="308"/>
  <c r="V180" i="310" s="1"/>
  <c r="V152" i="310" s="1"/>
  <c r="AH64" i="308"/>
  <c r="W180" i="310" s="1"/>
  <c r="W152" i="310" s="1"/>
  <c r="AI64" i="308"/>
  <c r="X180" i="310" s="1"/>
  <c r="X152" i="310" s="1"/>
  <c r="AJ64" i="308"/>
  <c r="Y180" i="310" s="1"/>
  <c r="AK64" i="308"/>
  <c r="Z180" i="310" s="1"/>
  <c r="AL64" i="308"/>
  <c r="AA180" i="310" s="1"/>
  <c r="AA152" i="310" s="1"/>
  <c r="AM64" i="308"/>
  <c r="AB180" i="310" s="1"/>
  <c r="AN64" i="308"/>
  <c r="AC180" i="310" s="1"/>
  <c r="AO64" i="308"/>
  <c r="AD180" i="310" s="1"/>
  <c r="AD152" i="310" s="1"/>
  <c r="AP64" i="308"/>
  <c r="AE180" i="310" s="1"/>
  <c r="AE152" i="310" s="1"/>
  <c r="AQ64" i="308"/>
  <c r="AF180" i="310" s="1"/>
  <c r="AR64" i="308"/>
  <c r="AG180" i="310" s="1"/>
  <c r="AS64" i="308"/>
  <c r="AH180" i="310" s="1"/>
  <c r="AT64" i="308"/>
  <c r="AI180" i="310" s="1"/>
  <c r="AI181" i="310" s="1"/>
  <c r="AU64" i="308"/>
  <c r="AJ180" i="310" s="1"/>
  <c r="AJ181" i="310" s="1"/>
  <c r="AV64" i="308"/>
  <c r="AK180" i="310" s="1"/>
  <c r="AW64" i="308"/>
  <c r="AL180" i="310" s="1"/>
  <c r="AX64" i="308"/>
  <c r="AM180" i="310" s="1"/>
  <c r="AM181" i="310" s="1"/>
  <c r="AY64" i="308"/>
  <c r="AN180" i="310" s="1"/>
  <c r="AN181" i="310" s="1"/>
  <c r="W56" i="308"/>
  <c r="L170" i="310" s="1"/>
  <c r="Y60" i="308"/>
  <c r="V64" i="308"/>
  <c r="K180" i="310" s="1"/>
  <c r="K181" i="310" s="1"/>
  <c r="V56" i="308"/>
  <c r="K170" i="310" s="1"/>
  <c r="K171" i="310" s="1"/>
  <c r="U58" i="308"/>
  <c r="J78" i="310" s="1"/>
  <c r="J80" i="310" s="1"/>
  <c r="U62" i="308"/>
  <c r="J85" i="310" s="1"/>
  <c r="J87" i="310" s="1"/>
  <c r="N175" i="310" l="1"/>
  <c r="N176" i="310" s="1"/>
  <c r="F176" i="310" s="1"/>
  <c r="O180" i="310"/>
  <c r="F180" i="310" s="1"/>
  <c r="AF115" i="310" a="1"/>
  <c r="AF115" i="310" s="1"/>
  <c r="AF117" i="310" s="1"/>
  <c r="AF158" i="310"/>
  <c r="AF183" i="310"/>
  <c r="AG184" i="310" s="1"/>
  <c r="AG89" i="310" a="1"/>
  <c r="AG89" i="310" s="1"/>
  <c r="AG116" i="310" s="1" a="1"/>
  <c r="AG116" i="310" s="1"/>
  <c r="AG186" i="310"/>
  <c r="AS14" i="308"/>
  <c r="AT11" i="308"/>
  <c r="AO18" i="307"/>
  <c r="AN62" i="307"/>
  <c r="AN57" i="307"/>
  <c r="AH5" i="310"/>
  <c r="AH185" i="310" s="1" a="1"/>
  <c r="AH185" i="310" s="1"/>
  <c r="AB152" i="310"/>
  <c r="AB181" i="310"/>
  <c r="T152" i="310"/>
  <c r="T181" i="310"/>
  <c r="P152" i="310"/>
  <c r="P181" i="310"/>
  <c r="AC152" i="310"/>
  <c r="AC181" i="310"/>
  <c r="U152" i="310"/>
  <c r="U181" i="310"/>
  <c r="AF152" i="310"/>
  <c r="AF181" i="310"/>
  <c r="X181" i="310"/>
  <c r="S181" i="310"/>
  <c r="AK181" i="310"/>
  <c r="AG181" i="310"/>
  <c r="Z152" i="310"/>
  <c r="Z181" i="310"/>
  <c r="Y152" i="310"/>
  <c r="Y181" i="310"/>
  <c r="R152" i="310"/>
  <c r="R181" i="310"/>
  <c r="Q181" i="310"/>
  <c r="AH181" i="310"/>
  <c r="K152" i="310"/>
  <c r="AA181" i="310"/>
  <c r="AL181" i="310"/>
  <c r="AD181" i="310"/>
  <c r="V181" i="310"/>
  <c r="AE181" i="310"/>
  <c r="W181" i="310"/>
  <c r="L171" i="310"/>
  <c r="L152" i="310"/>
  <c r="N171" i="310"/>
  <c r="N152" i="310"/>
  <c r="U63" i="308"/>
  <c r="J178" i="310" s="1"/>
  <c r="V62" i="308"/>
  <c r="W62" i="308" s="1"/>
  <c r="J82" i="310"/>
  <c r="V58" i="308"/>
  <c r="W58" i="308" s="1"/>
  <c r="J75" i="310"/>
  <c r="U59" i="308"/>
  <c r="J173" i="310" s="1"/>
  <c r="F175" i="310"/>
  <c r="O152" i="310" l="1"/>
  <c r="O181" i="310"/>
  <c r="AG115" i="310" a="1"/>
  <c r="AG115" i="310" s="1"/>
  <c r="AG117" i="310" s="1"/>
  <c r="AG158" i="310"/>
  <c r="AG183" i="310"/>
  <c r="AH184" i="310" s="1"/>
  <c r="AT14" i="308"/>
  <c r="AU11" i="308"/>
  <c r="X58" i="308"/>
  <c r="X59" i="308" s="1"/>
  <c r="M173" i="310" s="1"/>
  <c r="N174" i="310" s="1"/>
  <c r="AG152" i="310"/>
  <c r="AH89" i="310" a="1"/>
  <c r="AH89" i="310" s="1"/>
  <c r="AH116" i="310" s="1" a="1"/>
  <c r="AH116" i="310" s="1"/>
  <c r="AO57" i="307"/>
  <c r="AP18" i="307"/>
  <c r="AO62" i="307"/>
  <c r="AI5" i="310"/>
  <c r="AI185" i="310" s="1" a="1"/>
  <c r="AI185" i="310" s="1"/>
  <c r="F181" i="310"/>
  <c r="X62" i="308"/>
  <c r="Y62" i="308" s="1"/>
  <c r="K174" i="310"/>
  <c r="J77" i="310"/>
  <c r="L78" i="310"/>
  <c r="L80" i="310" s="1"/>
  <c r="L75" i="310"/>
  <c r="L77" i="310" s="1"/>
  <c r="K78" i="310"/>
  <c r="K75" i="310"/>
  <c r="W59" i="308"/>
  <c r="L173" i="310" s="1"/>
  <c r="M174" i="310" s="1"/>
  <c r="V59" i="308"/>
  <c r="K173" i="310" s="1"/>
  <c r="L174" i="310" s="1"/>
  <c r="J84" i="310"/>
  <c r="L85" i="310"/>
  <c r="L87" i="310" s="1"/>
  <c r="L82" i="310"/>
  <c r="L84" i="310" s="1"/>
  <c r="K85" i="310"/>
  <c r="K82" i="310"/>
  <c r="W63" i="308"/>
  <c r="L178" i="310" s="1"/>
  <c r="M179" i="310" s="1"/>
  <c r="V63" i="308"/>
  <c r="K178" i="310" s="1"/>
  <c r="L179" i="310" s="1"/>
  <c r="K179" i="310"/>
  <c r="AH115" i="310" l="1" a="1"/>
  <c r="AH115" i="310" s="1"/>
  <c r="AH158" i="310"/>
  <c r="AH183" i="310"/>
  <c r="AI184" i="310" s="1"/>
  <c r="AH117" i="310"/>
  <c r="AI89" i="310" a="1"/>
  <c r="AI89" i="310" s="1"/>
  <c r="AI116" i="310" s="1" a="1"/>
  <c r="AI116" i="310" s="1"/>
  <c r="AP57" i="307"/>
  <c r="AQ18" i="307"/>
  <c r="AP62" i="307"/>
  <c r="AJ5" i="310"/>
  <c r="AJ185" i="310" s="1" a="1"/>
  <c r="AJ185" i="310" s="1"/>
  <c r="AH152" i="310"/>
  <c r="AH186" i="310"/>
  <c r="AU14" i="308"/>
  <c r="AV11" i="308"/>
  <c r="M75" i="310"/>
  <c r="M77" i="310" s="1"/>
  <c r="M78" i="310"/>
  <c r="M80" i="310" s="1"/>
  <c r="Y58" i="308"/>
  <c r="Z62" i="308"/>
  <c r="AA62" i="308" s="1"/>
  <c r="M82" i="310"/>
  <c r="M84" i="310" s="1"/>
  <c r="M85" i="310"/>
  <c r="M87" i="310" s="1"/>
  <c r="X63" i="308"/>
  <c r="M178" i="310" s="1"/>
  <c r="N179" i="310" s="1"/>
  <c r="Y63" i="308"/>
  <c r="N178" i="310" s="1"/>
  <c r="N82" i="310"/>
  <c r="N84" i="310" s="1"/>
  <c r="N85" i="310"/>
  <c r="N87" i="310" s="1"/>
  <c r="K84" i="310"/>
  <c r="K87" i="310"/>
  <c r="K77" i="310"/>
  <c r="K80" i="310"/>
  <c r="AI115" i="310" l="1" a="1"/>
  <c r="AI115" i="310" s="1"/>
  <c r="O85" i="310"/>
  <c r="O87" i="310" s="1"/>
  <c r="AI117" i="310"/>
  <c r="Z63" i="308"/>
  <c r="O178" i="310" s="1"/>
  <c r="P179" i="310" s="1"/>
  <c r="AI158" i="310"/>
  <c r="AI183" i="310"/>
  <c r="AJ184" i="310" s="1"/>
  <c r="AW11" i="308"/>
  <c r="AV14" i="308"/>
  <c r="AI152" i="310"/>
  <c r="AI186" i="310"/>
  <c r="N75" i="310"/>
  <c r="N77" i="310" s="1"/>
  <c r="N78" i="310"/>
  <c r="N80" i="310" s="1"/>
  <c r="AJ89" i="310" a="1"/>
  <c r="AJ89" i="310" s="1"/>
  <c r="AJ116" i="310" s="1" a="1"/>
  <c r="AJ116" i="310" s="1"/>
  <c r="Y59" i="308"/>
  <c r="N173" i="310" s="1"/>
  <c r="O174" i="310" s="1"/>
  <c r="AQ57" i="307"/>
  <c r="AR18" i="307"/>
  <c r="AQ62" i="307"/>
  <c r="AK5" i="310"/>
  <c r="AK185" i="310" s="1" a="1"/>
  <c r="AK185" i="310" s="1"/>
  <c r="Z58" i="308"/>
  <c r="O82" i="310"/>
  <c r="O84" i="310" s="1"/>
  <c r="AA63" i="308"/>
  <c r="P178" i="310" s="1"/>
  <c r="Q179" i="310" s="1"/>
  <c r="AB62" i="308"/>
  <c r="P85" i="310"/>
  <c r="P82" i="310"/>
  <c r="O179" i="310"/>
  <c r="AJ115" i="310" l="1" a="1"/>
  <c r="AJ115" i="310" s="1"/>
  <c r="AJ117" i="310" s="1"/>
  <c r="AJ158" i="310"/>
  <c r="AJ183" i="310"/>
  <c r="AK184" i="310" s="1"/>
  <c r="O78" i="310"/>
  <c r="O80" i="310" s="1"/>
  <c r="O75" i="310"/>
  <c r="O77" i="310" s="1"/>
  <c r="AA58" i="308"/>
  <c r="AK89" i="310" a="1"/>
  <c r="AK89" i="310" s="1"/>
  <c r="AK116" i="310" s="1" a="1"/>
  <c r="AK116" i="310" s="1"/>
  <c r="AX11" i="308"/>
  <c r="AW14" i="308"/>
  <c r="AR62" i="307"/>
  <c r="AR57" i="307"/>
  <c r="AS18" i="307"/>
  <c r="AL5" i="310"/>
  <c r="AL185" i="310" s="1" a="1"/>
  <c r="AL185" i="310" s="1"/>
  <c r="AJ152" i="310"/>
  <c r="AJ186" i="310"/>
  <c r="Z59" i="308"/>
  <c r="O173" i="310" s="1"/>
  <c r="P174" i="310" s="1"/>
  <c r="P84" i="310"/>
  <c r="P87" i="310"/>
  <c r="Q82" i="310"/>
  <c r="Q84" i="310" s="1"/>
  <c r="Q85" i="310"/>
  <c r="Q87" i="310" s="1"/>
  <c r="AB63" i="308"/>
  <c r="Q178" i="310" s="1"/>
  <c r="R179" i="310" s="1"/>
  <c r="AC62" i="308"/>
  <c r="AK115" i="310" l="1" a="1"/>
  <c r="AK115" i="310" s="1"/>
  <c r="AK158" i="310"/>
  <c r="AK183" i="310"/>
  <c r="AL184" i="310" s="1"/>
  <c r="AK117" i="310"/>
  <c r="AY11" i="308"/>
  <c r="AY14" i="308" s="1"/>
  <c r="AX14" i="308"/>
  <c r="AB58" i="308"/>
  <c r="AC58" i="308" s="1"/>
  <c r="P78" i="310"/>
  <c r="P80" i="310" s="1"/>
  <c r="P75" i="310"/>
  <c r="P77" i="310" s="1"/>
  <c r="AK186" i="310"/>
  <c r="AK152" i="310"/>
  <c r="AL89" i="310" a="1"/>
  <c r="AL89" i="310" s="1"/>
  <c r="AL116" i="310" s="1" a="1"/>
  <c r="AL116" i="310" s="1"/>
  <c r="AS62" i="307"/>
  <c r="AS57" i="307"/>
  <c r="AT18" i="307"/>
  <c r="AM5" i="310"/>
  <c r="AM185" i="310" s="1" a="1"/>
  <c r="AM185" i="310" s="1"/>
  <c r="AA59" i="308"/>
  <c r="P173" i="310" s="1"/>
  <c r="Q174" i="310" s="1"/>
  <c r="F87" i="310"/>
  <c r="R85" i="310"/>
  <c r="R82" i="310"/>
  <c r="R84" i="310" s="1"/>
  <c r="AD62" i="308"/>
  <c r="AC63" i="308"/>
  <c r="R178" i="310" s="1"/>
  <c r="S179" i="310" s="1"/>
  <c r="F84" i="310"/>
  <c r="AL115" i="310" l="1" a="1"/>
  <c r="AL115" i="310" s="1"/>
  <c r="AB59" i="308"/>
  <c r="Q173" i="310" s="1"/>
  <c r="R174" i="310" s="1"/>
  <c r="AC59" i="308"/>
  <c r="R173" i="310" s="1"/>
  <c r="S174" i="310" s="1"/>
  <c r="AL117" i="310"/>
  <c r="AL158" i="310"/>
  <c r="AL183" i="310"/>
  <c r="AM184" i="310" s="1"/>
  <c r="AD58" i="308"/>
  <c r="AD59" i="308" s="1"/>
  <c r="S173" i="310" s="1"/>
  <c r="T174" i="310" s="1"/>
  <c r="R75" i="310"/>
  <c r="R77" i="310" s="1"/>
  <c r="R78" i="310"/>
  <c r="R80" i="310" s="1"/>
  <c r="AL152" i="310"/>
  <c r="AL186" i="310"/>
  <c r="AM89" i="310" a="1"/>
  <c r="AM89" i="310" s="1"/>
  <c r="AM116" i="310" s="1" a="1"/>
  <c r="AM116" i="310" s="1"/>
  <c r="AT62" i="307"/>
  <c r="AU18" i="307"/>
  <c r="AT57" i="307"/>
  <c r="AN5" i="310"/>
  <c r="AN185" i="310" s="1" a="1"/>
  <c r="AN185" i="310" s="1"/>
  <c r="Q78" i="310"/>
  <c r="Q80" i="310" s="1"/>
  <c r="F80" i="310" s="1"/>
  <c r="Q75" i="310"/>
  <c r="Q77" i="310" s="1"/>
  <c r="F77" i="310" s="1"/>
  <c r="AD63" i="308"/>
  <c r="S178" i="310" s="1"/>
  <c r="T179" i="310" s="1"/>
  <c r="AE62" i="308"/>
  <c r="AF62" i="308" s="1"/>
  <c r="R87" i="310"/>
  <c r="S85" i="310"/>
  <c r="S87" i="310" s="1"/>
  <c r="S82" i="310"/>
  <c r="S84" i="310" s="1"/>
  <c r="AM115" i="310" l="1" a="1"/>
  <c r="AM115" i="310" s="1"/>
  <c r="AM117" i="310" s="1"/>
  <c r="T82" i="310"/>
  <c r="T84" i="310" s="1"/>
  <c r="T85" i="310"/>
  <c r="T87" i="310" s="1"/>
  <c r="AE58" i="308"/>
  <c r="T75" i="310" s="1"/>
  <c r="T77" i="310" s="1"/>
  <c r="AM158" i="310"/>
  <c r="AM183" i="310"/>
  <c r="AN184" i="310" s="1"/>
  <c r="F184" i="310" s="1"/>
  <c r="AN89" i="310" a="1"/>
  <c r="AN89" i="310" s="1"/>
  <c r="AN116" i="310" s="1" a="1"/>
  <c r="AN116" i="310" s="1"/>
  <c r="F185" i="310"/>
  <c r="AV18" i="307"/>
  <c r="AU62" i="307"/>
  <c r="AU57" i="307"/>
  <c r="AM186" i="310"/>
  <c r="AM152" i="310"/>
  <c r="S78" i="310"/>
  <c r="S80" i="310" s="1"/>
  <c r="S75" i="310"/>
  <c r="S77" i="310" s="1"/>
  <c r="AF63" i="308"/>
  <c r="U178" i="310" s="1"/>
  <c r="V179" i="310" s="1"/>
  <c r="U82" i="310"/>
  <c r="U84" i="310" s="1"/>
  <c r="U85" i="310"/>
  <c r="U87" i="310" s="1"/>
  <c r="AG62" i="308"/>
  <c r="AH62" i="308" s="1"/>
  <c r="AE63" i="308"/>
  <c r="T178" i="310" s="1"/>
  <c r="U179" i="310" s="1"/>
  <c r="F116" i="310" l="1"/>
  <c r="AN115" i="310" a="1"/>
  <c r="AN115" i="310" s="1"/>
  <c r="F115" i="310" s="1"/>
  <c r="T78" i="310"/>
  <c r="T80" i="310" s="1"/>
  <c r="AF58" i="308"/>
  <c r="AF59" i="308" s="1"/>
  <c r="U173" i="310" s="1"/>
  <c r="V174" i="310" s="1"/>
  <c r="AE59" i="308"/>
  <c r="T173" i="310" s="1"/>
  <c r="U174" i="310" s="1"/>
  <c r="AN158" i="310"/>
  <c r="F89" i="310"/>
  <c r="AN183" i="310"/>
  <c r="F183" i="310" s="1"/>
  <c r="AG63" i="308"/>
  <c r="V178" i="310" s="1"/>
  <c r="W179" i="310" s="1"/>
  <c r="V82" i="310"/>
  <c r="V84" i="310" s="1"/>
  <c r="AW18" i="307"/>
  <c r="AV62" i="307"/>
  <c r="AV57" i="307"/>
  <c r="AN186" i="310"/>
  <c r="F186" i="310" s="1"/>
  <c r="AN152" i="310"/>
  <c r="AI62" i="308"/>
  <c r="W85" i="310"/>
  <c r="W87" i="310" s="1"/>
  <c r="W82" i="310"/>
  <c r="W84" i="310" s="1"/>
  <c r="AH63" i="308"/>
  <c r="W178" i="310" s="1"/>
  <c r="X179" i="310" s="1"/>
  <c r="V85" i="310"/>
  <c r="V87" i="310" s="1"/>
  <c r="AN117" i="310" l="1"/>
  <c r="F117" i="310" s="1"/>
  <c r="U78" i="310"/>
  <c r="U80" i="310" s="1"/>
  <c r="U75" i="310"/>
  <c r="U77" i="310" s="1"/>
  <c r="AG58" i="308"/>
  <c r="V75" i="310" s="1"/>
  <c r="V77" i="310" s="1"/>
  <c r="AH58" i="308"/>
  <c r="AH59" i="308" s="1"/>
  <c r="W173" i="310" s="1"/>
  <c r="X174" i="310" s="1"/>
  <c r="AJ62" i="308"/>
  <c r="Y85" i="310" s="1"/>
  <c r="Y87" i="310" s="1"/>
  <c r="AI63" i="308"/>
  <c r="X178" i="310" s="1"/>
  <c r="Y179" i="310" s="1"/>
  <c r="AW57" i="307"/>
  <c r="AX18" i="307"/>
  <c r="AW62" i="307"/>
  <c r="X85" i="310"/>
  <c r="X87" i="310" s="1"/>
  <c r="X82" i="310"/>
  <c r="X84" i="310" s="1"/>
  <c r="AG59" i="308" l="1"/>
  <c r="V173" i="310" s="1"/>
  <c r="W174" i="310" s="1"/>
  <c r="V78" i="310"/>
  <c r="V80" i="310" s="1"/>
  <c r="Y82" i="310"/>
  <c r="Y84" i="310" s="1"/>
  <c r="AI58" i="308"/>
  <c r="X78" i="310" s="1"/>
  <c r="X80" i="310" s="1"/>
  <c r="W75" i="310"/>
  <c r="W77" i="310" s="1"/>
  <c r="W78" i="310"/>
  <c r="W80" i="310" s="1"/>
  <c r="AX57" i="307"/>
  <c r="AY18" i="307"/>
  <c r="AX62" i="307"/>
  <c r="AK62" i="308"/>
  <c r="AJ63" i="308"/>
  <c r="Y178" i="310" s="1"/>
  <c r="Z179" i="310" s="1"/>
  <c r="AI59" i="308" l="1"/>
  <c r="X173" i="310" s="1"/>
  <c r="Y174" i="310" s="1"/>
  <c r="X75" i="310"/>
  <c r="X77" i="310" s="1"/>
  <c r="AJ58" i="308"/>
  <c r="AJ59" i="308" s="1"/>
  <c r="Y173" i="310" s="1"/>
  <c r="Z174" i="310" s="1"/>
  <c r="AY57" i="307"/>
  <c r="AZ18" i="307"/>
  <c r="AY62" i="307"/>
  <c r="Z82" i="310"/>
  <c r="Z84" i="310" s="1"/>
  <c r="Z85" i="310"/>
  <c r="Z87" i="310" s="1"/>
  <c r="AK63" i="308"/>
  <c r="Z178" i="310" s="1"/>
  <c r="AA179" i="310" s="1"/>
  <c r="AL62" i="308"/>
  <c r="AM62" i="308" s="1"/>
  <c r="Y75" i="310" l="1"/>
  <c r="Y77" i="310" s="1"/>
  <c r="Y78" i="310"/>
  <c r="Y80" i="310" s="1"/>
  <c r="AK58" i="308"/>
  <c r="AM63" i="308"/>
  <c r="AB178" i="310" s="1"/>
  <c r="AC179" i="310" s="1"/>
  <c r="AZ62" i="307"/>
  <c r="AZ57" i="307"/>
  <c r="BA18" i="307"/>
  <c r="AL63" i="308"/>
  <c r="AA178" i="310" s="1"/>
  <c r="AB179" i="310" s="1"/>
  <c r="AA82" i="310"/>
  <c r="AA84" i="310" s="1"/>
  <c r="AA85" i="310"/>
  <c r="AA87" i="310" s="1"/>
  <c r="AB85" i="310"/>
  <c r="AB87" i="310" s="1"/>
  <c r="AB82" i="310"/>
  <c r="AB84" i="310" s="1"/>
  <c r="AN62" i="308"/>
  <c r="AN63" i="308" s="1"/>
  <c r="AC178" i="310" s="1"/>
  <c r="AD179" i="310" s="1"/>
  <c r="AK59" i="308" l="1"/>
  <c r="Z173" i="310" s="1"/>
  <c r="AA174" i="310" s="1"/>
  <c r="Z78" i="310"/>
  <c r="Z80" i="310" s="1"/>
  <c r="Z75" i="310"/>
  <c r="Z77" i="310" s="1"/>
  <c r="AL58" i="308"/>
  <c r="AA78" i="310" s="1"/>
  <c r="AC85" i="310"/>
  <c r="AC87" i="310" s="1"/>
  <c r="AC82" i="310"/>
  <c r="AC84" i="310" s="1"/>
  <c r="BA62" i="307"/>
  <c r="BA57" i="307"/>
  <c r="BB18" i="307"/>
  <c r="AO62" i="308"/>
  <c r="AP62" i="308" s="1"/>
  <c r="AE85" i="310" s="1"/>
  <c r="AE87" i="310" s="1"/>
  <c r="X56" i="308"/>
  <c r="M170" i="310" s="1"/>
  <c r="AM58" i="308" l="1"/>
  <c r="AA75" i="310"/>
  <c r="AA77" i="310" s="1"/>
  <c r="AA80" i="310"/>
  <c r="AL59" i="308"/>
  <c r="AA173" i="310" s="1"/>
  <c r="AB174" i="310" s="1"/>
  <c r="AN58" i="308"/>
  <c r="AN59" i="308" s="1"/>
  <c r="AC173" i="310" s="1"/>
  <c r="AD174" i="310" s="1"/>
  <c r="AP63" i="308"/>
  <c r="AE178" i="310" s="1"/>
  <c r="AF179" i="310" s="1"/>
  <c r="AD85" i="310"/>
  <c r="AD87" i="310" s="1"/>
  <c r="AD82" i="310"/>
  <c r="AD84" i="310" s="1"/>
  <c r="AQ62" i="308"/>
  <c r="AF82" i="310" s="1"/>
  <c r="AF84" i="310" s="1"/>
  <c r="BB62" i="307"/>
  <c r="BC18" i="307"/>
  <c r="BB57" i="307"/>
  <c r="AE82" i="310"/>
  <c r="AE84" i="310" s="1"/>
  <c r="AO63" i="308"/>
  <c r="AD178" i="310" s="1"/>
  <c r="AE179" i="310" s="1"/>
  <c r="F170" i="310"/>
  <c r="M171" i="310"/>
  <c r="F171" i="310" s="1"/>
  <c r="M152" i="310"/>
  <c r="U2" i="188"/>
  <c r="S233" i="310"/>
  <c r="R233" i="310"/>
  <c r="Q233" i="310"/>
  <c r="AC78" i="310" l="1"/>
  <c r="AC80" i="310" s="1"/>
  <c r="AC75" i="310"/>
  <c r="AC77" i="310" s="1"/>
  <c r="AO58" i="308"/>
  <c r="AO59" i="308" s="1"/>
  <c r="AD173" i="310" s="1"/>
  <c r="AE174" i="310" s="1"/>
  <c r="AB75" i="310"/>
  <c r="AB77" i="310" s="1"/>
  <c r="AB78" i="310"/>
  <c r="AB80" i="310" s="1"/>
  <c r="AM59" i="308"/>
  <c r="AB173" i="310" s="1"/>
  <c r="AC174" i="310" s="1"/>
  <c r="AQ63" i="308"/>
  <c r="AF178" i="310" s="1"/>
  <c r="AG179" i="310" s="1"/>
  <c r="AR62" i="308"/>
  <c r="AG82" i="310" s="1"/>
  <c r="AG84" i="310" s="1"/>
  <c r="AF85" i="310"/>
  <c r="AF87" i="310" s="1"/>
  <c r="BD18" i="307"/>
  <c r="BC62" i="307"/>
  <c r="BC57" i="307"/>
  <c r="AP58" i="308" l="1"/>
  <c r="AS62" i="308"/>
  <c r="AH85" i="310" s="1"/>
  <c r="AH87" i="310" s="1"/>
  <c r="AD78" i="310"/>
  <c r="AD80" i="310" s="1"/>
  <c r="AG85" i="310"/>
  <c r="AG87" i="310" s="1"/>
  <c r="AD75" i="310"/>
  <c r="AD77" i="310" s="1"/>
  <c r="AR63" i="308"/>
  <c r="AG178" i="310" s="1"/>
  <c r="AH179" i="310" s="1"/>
  <c r="BE18" i="307"/>
  <c r="BD57" i="307"/>
  <c r="BD62" i="307"/>
  <c r="AE75" i="310"/>
  <c r="AE77" i="310" s="1"/>
  <c r="AE78" i="310"/>
  <c r="AE80" i="310" s="1"/>
  <c r="AP59" i="308"/>
  <c r="AE173" i="310" s="1"/>
  <c r="AF174" i="310" s="1"/>
  <c r="AQ58" i="308"/>
  <c r="AQ59" i="308" s="1"/>
  <c r="AF173" i="310" s="1"/>
  <c r="AG174" i="310" s="1"/>
  <c r="AH82" i="310"/>
  <c r="AH84" i="310" s="1"/>
  <c r="AS63" i="308"/>
  <c r="AH178" i="310" s="1"/>
  <c r="AI179" i="310" s="1"/>
  <c r="AT62" i="308" l="1"/>
  <c r="AF78" i="310"/>
  <c r="AF80" i="310" s="1"/>
  <c r="AF75" i="310"/>
  <c r="AF77" i="310" s="1"/>
  <c r="BE57" i="307"/>
  <c r="BF18" i="307"/>
  <c r="BE62" i="307"/>
  <c r="AR58" i="308"/>
  <c r="AI85" i="310"/>
  <c r="AI87" i="310" s="1"/>
  <c r="AI82" i="310"/>
  <c r="AI84" i="310" s="1"/>
  <c r="AU62" i="308"/>
  <c r="AT63" i="308"/>
  <c r="AI178" i="310" s="1"/>
  <c r="AJ179" i="310" s="1"/>
  <c r="BG18" i="307" l="1"/>
  <c r="BF57" i="307"/>
  <c r="BF62" i="307"/>
  <c r="AG78" i="310"/>
  <c r="AG80" i="310" s="1"/>
  <c r="AG75" i="310"/>
  <c r="AG77" i="310" s="1"/>
  <c r="AS58" i="308"/>
  <c r="AR59" i="308"/>
  <c r="AG173" i="310" s="1"/>
  <c r="AH174" i="310" s="1"/>
  <c r="AJ85" i="310"/>
  <c r="AJ87" i="310" s="1"/>
  <c r="AJ82" i="310"/>
  <c r="AJ84" i="310" s="1"/>
  <c r="AV62" i="308"/>
  <c r="AU63" i="308"/>
  <c r="AJ178" i="310" s="1"/>
  <c r="AK179" i="310" s="1"/>
  <c r="AH78" i="310" l="1"/>
  <c r="AH80" i="310" s="1"/>
  <c r="AH75" i="310"/>
  <c r="AH77" i="310" s="1"/>
  <c r="AT58" i="308"/>
  <c r="AT59" i="308" s="1"/>
  <c r="AI173" i="310" s="1"/>
  <c r="AJ174" i="310" s="1"/>
  <c r="AS59" i="308"/>
  <c r="AH173" i="310" s="1"/>
  <c r="AI174" i="310" s="1"/>
  <c r="BG57" i="307"/>
  <c r="BH18" i="307"/>
  <c r="BG62" i="307"/>
  <c r="AK82" i="310"/>
  <c r="AK84" i="310" s="1"/>
  <c r="AK85" i="310"/>
  <c r="AK87" i="310" s="1"/>
  <c r="AV63" i="308"/>
  <c r="AK178" i="310" s="1"/>
  <c r="AL179" i="310" s="1"/>
  <c r="AW62" i="308"/>
  <c r="BH62" i="307" l="1"/>
  <c r="BH57" i="307"/>
  <c r="BI18" i="307"/>
  <c r="AI78" i="310"/>
  <c r="AI80" i="310" s="1"/>
  <c r="AI75" i="310"/>
  <c r="AI77" i="310" s="1"/>
  <c r="AU58" i="308"/>
  <c r="AU59" i="308" s="1"/>
  <c r="AJ173" i="310" s="1"/>
  <c r="AK174" i="310" s="1"/>
  <c r="AL85" i="310"/>
  <c r="AL87" i="310" s="1"/>
  <c r="AL82" i="310"/>
  <c r="AL84" i="310" s="1"/>
  <c r="AX62" i="308"/>
  <c r="AW63" i="308"/>
  <c r="AL178" i="310" s="1"/>
  <c r="AM179" i="310" s="1"/>
  <c r="AJ75" i="310" l="1"/>
  <c r="AJ77" i="310" s="1"/>
  <c r="AJ78" i="310"/>
  <c r="AJ80" i="310" s="1"/>
  <c r="AV58" i="308"/>
  <c r="AW58" i="308" s="1"/>
  <c r="BI62" i="307"/>
  <c r="BI57" i="307"/>
  <c r="BJ18" i="307"/>
  <c r="AM85" i="310"/>
  <c r="AM87" i="310" s="1"/>
  <c r="AM82" i="310"/>
  <c r="AM84" i="310" s="1"/>
  <c r="AY62" i="308"/>
  <c r="AX63" i="308"/>
  <c r="AM178" i="310" s="1"/>
  <c r="AN179" i="310" s="1"/>
  <c r="F179" i="310" s="1"/>
  <c r="AV59" i="308" l="1"/>
  <c r="AK173" i="310" s="1"/>
  <c r="AL174" i="310" s="1"/>
  <c r="AL75" i="310"/>
  <c r="AL77" i="310" s="1"/>
  <c r="AL78" i="310"/>
  <c r="AL80" i="310" s="1"/>
  <c r="AX58" i="308"/>
  <c r="AX59" i="308" s="1"/>
  <c r="AM173" i="310" s="1"/>
  <c r="AN174" i="310" s="1"/>
  <c r="AK78" i="310"/>
  <c r="AK75" i="310"/>
  <c r="AW59" i="308"/>
  <c r="AL173" i="310" s="1"/>
  <c r="AM174" i="310" s="1"/>
  <c r="BJ62" i="307"/>
  <c r="BK18" i="307"/>
  <c r="BJ57" i="307"/>
  <c r="AN85" i="310"/>
  <c r="AN82" i="310"/>
  <c r="AY63" i="308"/>
  <c r="AN178" i="310" s="1"/>
  <c r="F178" i="310" s="1"/>
  <c r="N62" i="308"/>
  <c r="F174" i="310" l="1"/>
  <c r="AK80" i="310"/>
  <c r="AM78" i="310"/>
  <c r="AM80" i="310" s="1"/>
  <c r="AM75" i="310"/>
  <c r="AM77" i="310" s="1"/>
  <c r="AK77" i="310"/>
  <c r="BL18" i="307"/>
  <c r="BK62" i="307"/>
  <c r="BK57" i="307"/>
  <c r="AY58" i="308"/>
  <c r="AY59" i="308" s="1"/>
  <c r="AN173" i="310" s="1"/>
  <c r="F173" i="310" s="1"/>
  <c r="AN87" i="310"/>
  <c r="F85" i="310"/>
  <c r="AN84" i="310"/>
  <c r="F82" i="310"/>
  <c r="BM18" i="307" l="1"/>
  <c r="BL62" i="307"/>
  <c r="BL57" i="307"/>
  <c r="AN78" i="310"/>
  <c r="AN80" i="310" s="1"/>
  <c r="AN75" i="310"/>
  <c r="N58" i="308"/>
  <c r="AN77" i="310" l="1"/>
  <c r="F75" i="310"/>
  <c r="F78" i="310"/>
  <c r="BM57" i="307"/>
  <c r="BN18" i="307"/>
  <c r="BM62" i="307"/>
  <c r="T30" i="234"/>
  <c r="BN57" i="307" l="1"/>
  <c r="BO18" i="307"/>
  <c r="BN62" i="307"/>
  <c r="U30" i="234"/>
  <c r="BO57" i="307" l="1"/>
  <c r="BP18" i="307"/>
  <c r="BO62" i="307"/>
  <c r="V30" i="234"/>
  <c r="BP62" i="307" l="1"/>
  <c r="BP57" i="307"/>
  <c r="BQ18" i="307"/>
  <c r="W30" i="234"/>
  <c r="BQ62" i="307" l="1"/>
  <c r="BQ57" i="307"/>
  <c r="BR18" i="307"/>
  <c r="X30" i="234"/>
  <c r="BR62" i="307" l="1"/>
  <c r="BS18" i="307"/>
  <c r="BR57" i="307"/>
  <c r="Y30" i="234"/>
  <c r="BT18" i="307" l="1"/>
  <c r="BS62" i="307"/>
  <c r="BS57" i="307"/>
  <c r="Z30" i="234"/>
  <c r="BU18" i="307" l="1"/>
  <c r="BT62" i="307"/>
  <c r="BT57" i="307"/>
  <c r="BU57" i="307" l="1"/>
  <c r="BV18" i="307"/>
  <c r="BU62" i="307"/>
  <c r="BW18" i="307" l="1"/>
  <c r="BV57" i="307"/>
  <c r="BV62" i="307"/>
  <c r="BW57" i="307" l="1"/>
  <c r="BW62" i="307"/>
  <c r="P233" i="310" l="1"/>
  <c r="N233" i="310"/>
  <c r="L233" i="310"/>
  <c r="M233" i="310"/>
  <c r="O233" i="310"/>
  <c r="K233" i="310"/>
  <c r="U54" i="308"/>
  <c r="J68" i="310"/>
  <c r="J70" i="310"/>
  <c r="J73" i="310"/>
  <c r="J127" i="310"/>
  <c r="J71" i="310"/>
  <c r="V54" i="308"/>
  <c r="V55" i="308"/>
  <c r="K168" i="310"/>
  <c r="L169" i="310"/>
  <c r="U55" i="308"/>
  <c r="J168" i="310"/>
  <c r="J157" i="310"/>
  <c r="J159" i="310"/>
  <c r="J192" i="310"/>
  <c r="K145" i="310"/>
  <c r="K142" i="310"/>
  <c r="J112" i="310"/>
  <c r="K169" i="310"/>
  <c r="K71" i="310"/>
  <c r="K68" i="310"/>
  <c r="K188" i="310"/>
  <c r="K157" i="310"/>
  <c r="K159" i="310"/>
  <c r="L188" i="310"/>
  <c r="J123" i="310"/>
  <c r="K125" i="310"/>
  <c r="L145" i="310"/>
  <c r="L142" i="310"/>
  <c r="K137" i="310"/>
  <c r="K129" i="310"/>
  <c r="Y128" i="310"/>
  <c r="K112" i="310"/>
  <c r="L138" i="310"/>
  <c r="K73" i="310"/>
  <c r="K70" i="310"/>
  <c r="J222" i="310"/>
  <c r="K138" i="310"/>
  <c r="J110" i="310"/>
  <c r="J119" i="310"/>
  <c r="K123" i="310"/>
  <c r="L137" i="310"/>
  <c r="K127" i="310"/>
  <c r="K131" i="310"/>
  <c r="AN124" i="310"/>
  <c r="K147" i="310"/>
  <c r="K198" i="310"/>
  <c r="K139" i="310"/>
  <c r="K194" i="310"/>
  <c r="AN193" i="310"/>
  <c r="K192" i="310"/>
  <c r="K222" i="310"/>
  <c r="K110" i="310"/>
  <c r="K119" i="310"/>
  <c r="Z128" i="310"/>
  <c r="L129" i="310"/>
  <c r="L147" i="310"/>
  <c r="L198" i="310"/>
  <c r="L139" i="310"/>
  <c r="L125" i="310"/>
  <c r="L194" i="310"/>
  <c r="K219" i="310"/>
  <c r="K199" i="310"/>
  <c r="J221" i="310"/>
  <c r="J223" i="310"/>
  <c r="L131" i="310"/>
  <c r="L199" i="310"/>
  <c r="J224" i="310"/>
  <c r="K221" i="310"/>
  <c r="J229" i="310"/>
  <c r="J230" i="310"/>
  <c r="J231" i="310"/>
  <c r="K203" i="310"/>
  <c r="K213" i="310"/>
  <c r="K202" i="310"/>
  <c r="L219" i="310"/>
  <c r="L202" i="310"/>
  <c r="K204" i="310"/>
  <c r="K207" i="310"/>
  <c r="K208" i="310"/>
  <c r="K211" i="310"/>
  <c r="L203" i="310"/>
  <c r="K205" i="310"/>
  <c r="L201" i="310"/>
  <c r="L204" i="310"/>
  <c r="K209" i="310"/>
  <c r="L207" i="310"/>
  <c r="L205" i="310"/>
  <c r="M201" i="310"/>
  <c r="K212" i="310"/>
  <c r="L213" i="310"/>
  <c r="L208" i="310"/>
  <c r="K215" i="310"/>
  <c r="K220" i="310"/>
  <c r="K223" i="310"/>
  <c r="K224" i="310"/>
  <c r="L211" i="310"/>
  <c r="L209" i="310"/>
  <c r="L212" i="310"/>
  <c r="K229" i="310"/>
  <c r="K230" i="310"/>
  <c r="K231" i="310"/>
  <c r="L215" i="310"/>
  <c r="L220" i="310"/>
  <c r="W54" i="308"/>
  <c r="W55" i="308"/>
  <c r="L168" i="310"/>
  <c r="M169" i="310"/>
  <c r="L71" i="310"/>
  <c r="L68" i="310"/>
  <c r="X54" i="308"/>
  <c r="M145" i="310"/>
  <c r="L70" i="310"/>
  <c r="M142" i="310"/>
  <c r="L73" i="310"/>
  <c r="L127" i="310"/>
  <c r="AA128" i="310"/>
  <c r="L157" i="310"/>
  <c r="L159" i="310"/>
  <c r="L112" i="310"/>
  <c r="M188" i="310"/>
  <c r="M68" i="310"/>
  <c r="M71" i="310"/>
  <c r="Y54" i="308"/>
  <c r="X55" i="308"/>
  <c r="M168" i="310"/>
  <c r="M138" i="310"/>
  <c r="M112" i="310"/>
  <c r="M73" i="310"/>
  <c r="M157" i="310"/>
  <c r="M159" i="310"/>
  <c r="M70" i="310"/>
  <c r="N137" i="310"/>
  <c r="N145" i="310"/>
  <c r="N169" i="310"/>
  <c r="L222" i="310"/>
  <c r="L192" i="310"/>
  <c r="N142" i="310"/>
  <c r="N68" i="310"/>
  <c r="N71" i="310"/>
  <c r="Z54" i="308"/>
  <c r="L110" i="310"/>
  <c r="M137" i="310"/>
  <c r="L123" i="310"/>
  <c r="Y55" i="308"/>
  <c r="N168" i="310"/>
  <c r="M147" i="310"/>
  <c r="M198" i="310"/>
  <c r="M219" i="310"/>
  <c r="M127" i="310"/>
  <c r="AB128" i="310"/>
  <c r="N138" i="310"/>
  <c r="N147" i="310"/>
  <c r="M192" i="310"/>
  <c r="N194" i="310"/>
  <c r="M222" i="310"/>
  <c r="M125" i="310"/>
  <c r="M129" i="310"/>
  <c r="N188" i="310"/>
  <c r="O169" i="310"/>
  <c r="O188" i="310"/>
  <c r="O68" i="310"/>
  <c r="P142" i="310"/>
  <c r="O71" i="310"/>
  <c r="Z55" i="308"/>
  <c r="O168" i="310"/>
  <c r="P169" i="310"/>
  <c r="P188" i="310"/>
  <c r="N112" i="310"/>
  <c r="N73" i="310"/>
  <c r="N127" i="310"/>
  <c r="AC128" i="310"/>
  <c r="N70" i="310"/>
  <c r="N157" i="310"/>
  <c r="N159" i="310"/>
  <c r="N192" i="310"/>
  <c r="O142" i="310"/>
  <c r="N139" i="310"/>
  <c r="AA54" i="308"/>
  <c r="AA55" i="308"/>
  <c r="P168" i="310"/>
  <c r="Q169" i="310"/>
  <c r="Q188" i="310"/>
  <c r="L119" i="310"/>
  <c r="O145" i="310"/>
  <c r="M139" i="310"/>
  <c r="M194" i="310"/>
  <c r="M123" i="310"/>
  <c r="M110" i="310"/>
  <c r="M119" i="310"/>
  <c r="M221" i="310"/>
  <c r="N129" i="310"/>
  <c r="AB54" i="308"/>
  <c r="Q71" i="310"/>
  <c r="O157" i="310"/>
  <c r="O159" i="310"/>
  <c r="O112" i="310"/>
  <c r="O70" i="310"/>
  <c r="O73" i="310"/>
  <c r="O127" i="310"/>
  <c r="P145" i="310"/>
  <c r="P138" i="310"/>
  <c r="N222" i="310"/>
  <c r="O194" i="310"/>
  <c r="M131" i="310"/>
  <c r="M199" i="310"/>
  <c r="N123" i="310"/>
  <c r="N110" i="310"/>
  <c r="O137" i="310"/>
  <c r="N125" i="310"/>
  <c r="N131" i="310"/>
  <c r="P68" i="310"/>
  <c r="P71" i="310"/>
  <c r="O129" i="310"/>
  <c r="L221" i="310"/>
  <c r="L223" i="310"/>
  <c r="L229" i="310"/>
  <c r="L230" i="310"/>
  <c r="L231" i="310"/>
  <c r="O138" i="310"/>
  <c r="N198" i="310"/>
  <c r="Q68" i="310"/>
  <c r="R145" i="310"/>
  <c r="AC54" i="308"/>
  <c r="R71" i="310"/>
  <c r="O139" i="310"/>
  <c r="M202" i="310"/>
  <c r="M203" i="310"/>
  <c r="M213" i="310"/>
  <c r="AD128" i="310"/>
  <c r="P129" i="310"/>
  <c r="O147" i="310"/>
  <c r="O198" i="310"/>
  <c r="L224" i="310"/>
  <c r="R142" i="310"/>
  <c r="O125" i="310"/>
  <c r="O131" i="310"/>
  <c r="N199" i="310"/>
  <c r="N219" i="310"/>
  <c r="N119" i="310"/>
  <c r="P112" i="310"/>
  <c r="P157" i="310"/>
  <c r="P159" i="310"/>
  <c r="P73" i="310"/>
  <c r="P127" i="310"/>
  <c r="P70" i="310"/>
  <c r="Q145" i="310"/>
  <c r="O123" i="310"/>
  <c r="P125" i="310"/>
  <c r="O110" i="310"/>
  <c r="O119" i="310"/>
  <c r="O221" i="310"/>
  <c r="Q70" i="310"/>
  <c r="Q157" i="310"/>
  <c r="Q159" i="310"/>
  <c r="Q112" i="310"/>
  <c r="Q73" i="310"/>
  <c r="Q127" i="310"/>
  <c r="AF128" i="310"/>
  <c r="AD54" i="308"/>
  <c r="AE54" i="308"/>
  <c r="P137" i="310"/>
  <c r="P139" i="310"/>
  <c r="Q142" i="310"/>
  <c r="O192" i="310"/>
  <c r="P194" i="310"/>
  <c r="O222" i="310"/>
  <c r="AC55" i="308"/>
  <c r="R168" i="310"/>
  <c r="S169" i="310"/>
  <c r="S188" i="310"/>
  <c r="R68" i="310"/>
  <c r="S145" i="310"/>
  <c r="R129" i="310"/>
  <c r="S142" i="310"/>
  <c r="P131" i="310"/>
  <c r="Q129" i="310"/>
  <c r="F73" i="310"/>
  <c r="Q123" i="310"/>
  <c r="Q110" i="310"/>
  <c r="Q119" i="310"/>
  <c r="Q221" i="310"/>
  <c r="T71" i="310"/>
  <c r="T68" i="310"/>
  <c r="N202" i="310"/>
  <c r="AE55" i="308"/>
  <c r="T168" i="310"/>
  <c r="U169" i="310"/>
  <c r="U188" i="310"/>
  <c r="P147" i="310"/>
  <c r="P198" i="310"/>
  <c r="P123" i="310"/>
  <c r="P110" i="310"/>
  <c r="Q137" i="310"/>
  <c r="F70" i="310"/>
  <c r="R137" i="310"/>
  <c r="N221" i="310"/>
  <c r="AF54" i="308"/>
  <c r="N203" i="310"/>
  <c r="AE128" i="310"/>
  <c r="R138" i="310"/>
  <c r="Q138" i="310"/>
  <c r="R157" i="310"/>
  <c r="R159" i="310"/>
  <c r="R112" i="310"/>
  <c r="R73" i="310"/>
  <c r="R127" i="310"/>
  <c r="R70" i="310"/>
  <c r="S137" i="310"/>
  <c r="M204" i="310"/>
  <c r="M207" i="310"/>
  <c r="O219" i="310"/>
  <c r="O199" i="310"/>
  <c r="O203" i="310"/>
  <c r="S71" i="310"/>
  <c r="S68" i="310"/>
  <c r="AD55" i="308"/>
  <c r="S168" i="310"/>
  <c r="T169" i="310"/>
  <c r="P192" i="310"/>
  <c r="P222" i="310"/>
  <c r="Q222" i="310"/>
  <c r="Q192" i="310"/>
  <c r="R139" i="310"/>
  <c r="Q147" i="310"/>
  <c r="Q198" i="310"/>
  <c r="R147" i="310"/>
  <c r="M205" i="310"/>
  <c r="N201" i="310"/>
  <c r="N204" i="310"/>
  <c r="N207" i="310"/>
  <c r="Q219" i="310"/>
  <c r="Q194" i="310"/>
  <c r="AG128" i="310"/>
  <c r="U71" i="310"/>
  <c r="U68" i="310"/>
  <c r="V145" i="310"/>
  <c r="AG54" i="308"/>
  <c r="S73" i="310"/>
  <c r="S127" i="310"/>
  <c r="S70" i="310"/>
  <c r="S157" i="310"/>
  <c r="S159" i="310"/>
  <c r="S112" i="310"/>
  <c r="T138" i="310"/>
  <c r="T142" i="310"/>
  <c r="U142" i="310"/>
  <c r="T145" i="310"/>
  <c r="R222" i="310"/>
  <c r="R192" i="310"/>
  <c r="R125" i="310"/>
  <c r="R131" i="310"/>
  <c r="O202" i="310"/>
  <c r="S129" i="310"/>
  <c r="Q139" i="310"/>
  <c r="R194" i="310"/>
  <c r="T73" i="310"/>
  <c r="T127" i="310"/>
  <c r="AI128" i="310"/>
  <c r="T157" i="310"/>
  <c r="T159" i="310"/>
  <c r="T70" i="310"/>
  <c r="T112" i="310"/>
  <c r="U145" i="310"/>
  <c r="T188" i="310"/>
  <c r="S138" i="310"/>
  <c r="S139" i="310"/>
  <c r="P119" i="310"/>
  <c r="F110" i="310"/>
  <c r="S147" i="310"/>
  <c r="S198" i="310"/>
  <c r="AF55" i="308"/>
  <c r="U168" i="310"/>
  <c r="V169" i="310"/>
  <c r="V188" i="310"/>
  <c r="M208" i="310"/>
  <c r="M211" i="310"/>
  <c r="R123" i="310"/>
  <c r="S125" i="310"/>
  <c r="S131" i="310"/>
  <c r="R110" i="310"/>
  <c r="R119" i="310"/>
  <c r="R221" i="310"/>
  <c r="Q125" i="310"/>
  <c r="Q131" i="310"/>
  <c r="P219" i="310"/>
  <c r="P199" i="310"/>
  <c r="P203" i="310"/>
  <c r="M209" i="310"/>
  <c r="M212" i="310"/>
  <c r="N213" i="310"/>
  <c r="Q199" i="310"/>
  <c r="Q202" i="310"/>
  <c r="S219" i="310"/>
  <c r="AH128" i="310"/>
  <c r="T129" i="310"/>
  <c r="V71" i="310"/>
  <c r="V68" i="310"/>
  <c r="AG55" i="308"/>
  <c r="V168" i="310"/>
  <c r="W169" i="310"/>
  <c r="W188" i="310"/>
  <c r="P221" i="310"/>
  <c r="F119" i="310"/>
  <c r="F221" i="310"/>
  <c r="N205" i="310"/>
  <c r="O201" i="310"/>
  <c r="S110" i="310"/>
  <c r="S119" i="310"/>
  <c r="S221" i="310"/>
  <c r="S123" i="310"/>
  <c r="T125" i="310"/>
  <c r="U137" i="310"/>
  <c r="S194" i="310"/>
  <c r="S199" i="310"/>
  <c r="T123" i="310"/>
  <c r="T110" i="310"/>
  <c r="T119" i="310"/>
  <c r="T221" i="310"/>
  <c r="T192" i="310"/>
  <c r="T222" i="310"/>
  <c r="N208" i="310"/>
  <c r="N211" i="310"/>
  <c r="U138" i="310"/>
  <c r="AH54" i="308"/>
  <c r="U73" i="310"/>
  <c r="U127" i="310"/>
  <c r="U70" i="310"/>
  <c r="V137" i="310"/>
  <c r="U157" i="310"/>
  <c r="U159" i="310"/>
  <c r="U112" i="310"/>
  <c r="V138" i="310"/>
  <c r="V142" i="310"/>
  <c r="U129" i="310"/>
  <c r="P202" i="310"/>
  <c r="Q203" i="310"/>
  <c r="S222" i="310"/>
  <c r="S192" i="310"/>
  <c r="T137" i="310"/>
  <c r="T139" i="310"/>
  <c r="M215" i="310"/>
  <c r="M220" i="310"/>
  <c r="M223" i="310"/>
  <c r="U194" i="310"/>
  <c r="T194" i="310"/>
  <c r="V139" i="310"/>
  <c r="U125" i="310"/>
  <c r="U131" i="310"/>
  <c r="T147" i="310"/>
  <c r="T198" i="310"/>
  <c r="T219" i="310"/>
  <c r="U139" i="310"/>
  <c r="T131" i="310"/>
  <c r="U147" i="310"/>
  <c r="U198" i="310"/>
  <c r="U222" i="310"/>
  <c r="U192" i="310"/>
  <c r="M229" i="310"/>
  <c r="M230" i="310"/>
  <c r="M224" i="310"/>
  <c r="U110" i="310"/>
  <c r="U119" i="310"/>
  <c r="U221" i="310"/>
  <c r="U123" i="310"/>
  <c r="V147" i="310"/>
  <c r="V198" i="310"/>
  <c r="V70" i="310"/>
  <c r="V157" i="310"/>
  <c r="V159" i="310"/>
  <c r="V73" i="310"/>
  <c r="V127" i="310"/>
  <c r="V112" i="310"/>
  <c r="W138" i="310"/>
  <c r="W145" i="310"/>
  <c r="W142" i="310"/>
  <c r="S202" i="310"/>
  <c r="O204" i="310"/>
  <c r="O207" i="310"/>
  <c r="AJ128" i="310"/>
  <c r="V129" i="310"/>
  <c r="W71" i="310"/>
  <c r="W68" i="310"/>
  <c r="AH55" i="308"/>
  <c r="W168" i="310"/>
  <c r="X169" i="310"/>
  <c r="X188" i="310"/>
  <c r="AI54" i="308"/>
  <c r="N209" i="310"/>
  <c r="N212" i="310"/>
  <c r="O213" i="310"/>
  <c r="T199" i="310"/>
  <c r="T203" i="310"/>
  <c r="N215" i="310"/>
  <c r="N220" i="310"/>
  <c r="N223" i="310"/>
  <c r="N224" i="310"/>
  <c r="V123" i="310"/>
  <c r="W125" i="310"/>
  <c r="V110" i="310"/>
  <c r="W137" i="310"/>
  <c r="W139" i="310"/>
  <c r="V219" i="310"/>
  <c r="M231" i="310"/>
  <c r="U219" i="310"/>
  <c r="U199" i="310"/>
  <c r="U203" i="310"/>
  <c r="V194" i="310"/>
  <c r="X71" i="310"/>
  <c r="X68" i="310"/>
  <c r="AJ54" i="308"/>
  <c r="AI55" i="308"/>
  <c r="X168" i="310"/>
  <c r="Y169" i="310"/>
  <c r="Y188" i="310"/>
  <c r="V125" i="310"/>
  <c r="V131" i="310"/>
  <c r="O208" i="310"/>
  <c r="O211" i="310"/>
  <c r="AK128" i="310"/>
  <c r="W129" i="310"/>
  <c r="W112" i="310"/>
  <c r="X138" i="310"/>
  <c r="W73" i="310"/>
  <c r="W127" i="310"/>
  <c r="W157" i="310"/>
  <c r="W159" i="310"/>
  <c r="W70" i="310"/>
  <c r="X145" i="310"/>
  <c r="X142" i="310"/>
  <c r="O205" i="310"/>
  <c r="P201" i="310"/>
  <c r="V192" i="310"/>
  <c r="W194" i="310"/>
  <c r="V222" i="310"/>
  <c r="T202" i="310"/>
  <c r="V199" i="310"/>
  <c r="N229" i="310"/>
  <c r="N230" i="310"/>
  <c r="N231" i="310"/>
  <c r="V202" i="310"/>
  <c r="Y68" i="310"/>
  <c r="Y71" i="310"/>
  <c r="Y73" i="310"/>
  <c r="Y127" i="310"/>
  <c r="AK54" i="308"/>
  <c r="AJ55" i="308"/>
  <c r="Y168" i="310"/>
  <c r="Z169" i="310"/>
  <c r="Z188" i="310"/>
  <c r="X70" i="310"/>
  <c r="X73" i="310"/>
  <c r="X127" i="310"/>
  <c r="X157" i="310"/>
  <c r="X159" i="310"/>
  <c r="X112" i="310"/>
  <c r="Y138" i="310"/>
  <c r="Y142" i="310"/>
  <c r="Y145" i="310"/>
  <c r="W222" i="310"/>
  <c r="W192" i="310"/>
  <c r="X194" i="310"/>
  <c r="AL128" i="310"/>
  <c r="X129" i="310"/>
  <c r="P204" i="310"/>
  <c r="P207" i="310"/>
  <c r="W147" i="310"/>
  <c r="W198" i="310"/>
  <c r="V119" i="310"/>
  <c r="V221" i="310"/>
  <c r="W123" i="310"/>
  <c r="X125" i="310"/>
  <c r="W110" i="310"/>
  <c r="X137" i="310"/>
  <c r="X139" i="310"/>
  <c r="O209" i="310"/>
  <c r="O212" i="310"/>
  <c r="P213" i="310"/>
  <c r="V203" i="310"/>
  <c r="U202" i="310"/>
  <c r="W131" i="310"/>
  <c r="X131" i="310"/>
  <c r="P208" i="310"/>
  <c r="P211" i="310"/>
  <c r="W119" i="310"/>
  <c r="W221" i="310"/>
  <c r="P205" i="310"/>
  <c r="Q201" i="310"/>
  <c r="X147" i="310"/>
  <c r="X198" i="310"/>
  <c r="X192" i="310"/>
  <c r="Y194" i="310"/>
  <c r="X222" i="310"/>
  <c r="Y157" i="310"/>
  <c r="Y159" i="310"/>
  <c r="Y112" i="310"/>
  <c r="Z138" i="310"/>
  <c r="Y70" i="310"/>
  <c r="Z145" i="310"/>
  <c r="Z142" i="310"/>
  <c r="AM128" i="310"/>
  <c r="Y129" i="310"/>
  <c r="X123" i="310"/>
  <c r="Y125" i="310"/>
  <c r="X110" i="310"/>
  <c r="Y137" i="310"/>
  <c r="Y139" i="310"/>
  <c r="AN128" i="310"/>
  <c r="Z129" i="310"/>
  <c r="W219" i="310"/>
  <c r="W199" i="310"/>
  <c r="Z71" i="310"/>
  <c r="Z73" i="310"/>
  <c r="Z127" i="310"/>
  <c r="AA129" i="310"/>
  <c r="Z68" i="310"/>
  <c r="AL54" i="308"/>
  <c r="AK55" i="308"/>
  <c r="Z168" i="310"/>
  <c r="AA169" i="310"/>
  <c r="AA188" i="310"/>
  <c r="O215" i="310"/>
  <c r="O220" i="310"/>
  <c r="O223" i="310"/>
  <c r="P209" i="310"/>
  <c r="P212" i="310"/>
  <c r="Q213" i="310"/>
  <c r="AA71" i="310"/>
  <c r="AA73" i="310"/>
  <c r="AA68" i="310"/>
  <c r="AL55" i="308"/>
  <c r="AA168" i="310"/>
  <c r="AB169" i="310"/>
  <c r="AB188" i="310"/>
  <c r="AM54" i="308"/>
  <c r="Z157" i="310"/>
  <c r="Z159" i="310"/>
  <c r="Z70" i="310"/>
  <c r="Z112" i="310"/>
  <c r="AA138" i="310"/>
  <c r="AA145" i="310"/>
  <c r="AA142" i="310"/>
  <c r="X199" i="310"/>
  <c r="X203" i="310"/>
  <c r="X219" i="310"/>
  <c r="Q204" i="310"/>
  <c r="Q207" i="310"/>
  <c r="X119" i="310"/>
  <c r="X221" i="310"/>
  <c r="Y123" i="310"/>
  <c r="Z125" i="310"/>
  <c r="Z131" i="310"/>
  <c r="Y110" i="310"/>
  <c r="Z137" i="310"/>
  <c r="Z139" i="310"/>
  <c r="Y131" i="310"/>
  <c r="W202" i="310"/>
  <c r="W203" i="310"/>
  <c r="Y222" i="310"/>
  <c r="Y192" i="310"/>
  <c r="Z194" i="310"/>
  <c r="O229" i="310"/>
  <c r="O230" i="310"/>
  <c r="O224" i="310"/>
  <c r="Y147" i="310"/>
  <c r="Y198" i="310"/>
  <c r="P215" i="310"/>
  <c r="P220" i="310"/>
  <c r="P223" i="310"/>
  <c r="P224" i="310"/>
  <c r="AA127" i="310"/>
  <c r="AB129" i="310"/>
  <c r="Z147" i="310"/>
  <c r="Z198" i="310"/>
  <c r="Z199" i="310"/>
  <c r="O231" i="310"/>
  <c r="Z123" i="310"/>
  <c r="AA125" i="310"/>
  <c r="AA131" i="310"/>
  <c r="Z110" i="310"/>
  <c r="AA137" i="310"/>
  <c r="AA139" i="310"/>
  <c r="Q208" i="310"/>
  <c r="Q211" i="310"/>
  <c r="Z192" i="310"/>
  <c r="AA194" i="310"/>
  <c r="Z222" i="310"/>
  <c r="Q205" i="310"/>
  <c r="R201" i="310"/>
  <c r="X202" i="310"/>
  <c r="AA157" i="310"/>
  <c r="AA159" i="310"/>
  <c r="AA70" i="310"/>
  <c r="AA112" i="310"/>
  <c r="AB138" i="310"/>
  <c r="AB142" i="310"/>
  <c r="AB145" i="310"/>
  <c r="Y219" i="310"/>
  <c r="Y199" i="310"/>
  <c r="AB71" i="310"/>
  <c r="AB73" i="310"/>
  <c r="AB127" i="310"/>
  <c r="AB68" i="310"/>
  <c r="AN54" i="308"/>
  <c r="AM55" i="308"/>
  <c r="AB168" i="310"/>
  <c r="AC169" i="310"/>
  <c r="AC188" i="310"/>
  <c r="Y119" i="310"/>
  <c r="Y221" i="310"/>
  <c r="P229" i="310"/>
  <c r="P230" i="310"/>
  <c r="P231" i="310"/>
  <c r="Z219" i="310"/>
  <c r="AB157" i="310"/>
  <c r="AB159" i="310"/>
  <c r="AB70" i="310"/>
  <c r="AB112" i="310"/>
  <c r="AC138" i="310"/>
  <c r="AC145" i="310"/>
  <c r="AC142" i="310"/>
  <c r="AA147" i="310"/>
  <c r="AA198" i="310"/>
  <c r="AC129" i="310"/>
  <c r="Z119" i="310"/>
  <c r="Z221" i="310"/>
  <c r="AC71" i="310"/>
  <c r="AC73" i="310"/>
  <c r="AC127" i="310"/>
  <c r="AD129" i="310"/>
  <c r="AC68" i="310"/>
  <c r="AN55" i="308"/>
  <c r="AC168" i="310"/>
  <c r="AD169" i="310"/>
  <c r="AD188" i="310"/>
  <c r="AO54" i="308"/>
  <c r="Y202" i="310"/>
  <c r="Z203" i="310"/>
  <c r="AA123" i="310"/>
  <c r="AB125" i="310"/>
  <c r="AB131" i="310"/>
  <c r="AA110" i="310"/>
  <c r="AB137" i="310"/>
  <c r="AB139" i="310"/>
  <c r="AA222" i="310"/>
  <c r="AA192" i="310"/>
  <c r="AB194" i="310"/>
  <c r="Y203" i="310"/>
  <c r="Z202" i="310"/>
  <c r="Q209" i="310"/>
  <c r="Q212" i="310"/>
  <c r="AC70" i="310"/>
  <c r="AC112" i="310"/>
  <c r="AD138" i="310"/>
  <c r="AC157" i="310"/>
  <c r="AC159" i="310"/>
  <c r="AD145" i="310"/>
  <c r="AD142" i="310"/>
  <c r="Q215" i="310"/>
  <c r="Q220" i="310"/>
  <c r="Q223" i="310"/>
  <c r="AA119" i="310"/>
  <c r="AA221" i="310"/>
  <c r="AB147" i="310"/>
  <c r="AB198" i="310"/>
  <c r="AB110" i="310"/>
  <c r="AB123" i="310"/>
  <c r="AC125" i="310"/>
  <c r="AC131" i="310"/>
  <c r="AC137" i="310"/>
  <c r="AC139" i="310"/>
  <c r="AA199" i="310"/>
  <c r="AA219" i="310"/>
  <c r="AD68" i="310"/>
  <c r="AD71" i="310"/>
  <c r="AD73" i="310"/>
  <c r="AD127" i="310"/>
  <c r="AE129" i="310"/>
  <c r="AP54" i="308"/>
  <c r="AO55" i="308"/>
  <c r="AD168" i="310"/>
  <c r="AE169" i="310"/>
  <c r="AE188" i="310"/>
  <c r="AB222" i="310"/>
  <c r="AB192" i="310"/>
  <c r="AC194" i="310"/>
  <c r="AC147" i="310"/>
  <c r="AC198" i="310"/>
  <c r="AB219" i="310"/>
  <c r="AB199" i="310"/>
  <c r="AB203" i="310"/>
  <c r="AE68" i="310"/>
  <c r="AE71" i="310"/>
  <c r="AE73" i="310"/>
  <c r="AE127" i="310"/>
  <c r="AQ54" i="308"/>
  <c r="AP55" i="308"/>
  <c r="AE168" i="310"/>
  <c r="AF169" i="310"/>
  <c r="AF188" i="310"/>
  <c r="Q229" i="310"/>
  <c r="Q230" i="310"/>
  <c r="Q231" i="310"/>
  <c r="Q224" i="310"/>
  <c r="AD70" i="310"/>
  <c r="AD112" i="310"/>
  <c r="AE138" i="310"/>
  <c r="AD157" i="310"/>
  <c r="AD159" i="310"/>
  <c r="AE142" i="310"/>
  <c r="AE145" i="310"/>
  <c r="AC222" i="310"/>
  <c r="AC192" i="310"/>
  <c r="AD194" i="310"/>
  <c r="AC199" i="310"/>
  <c r="AC219" i="310"/>
  <c r="AC123" i="310"/>
  <c r="AD125" i="310"/>
  <c r="AD131" i="310"/>
  <c r="AC110" i="310"/>
  <c r="AC119" i="310"/>
  <c r="AC221" i="310"/>
  <c r="AD137" i="310"/>
  <c r="AD139" i="310"/>
  <c r="AA202" i="310"/>
  <c r="AA203" i="310"/>
  <c r="AB119" i="310"/>
  <c r="AB221" i="310"/>
  <c r="AF71" i="310"/>
  <c r="AF73" i="310"/>
  <c r="AF127" i="310"/>
  <c r="AG129" i="310"/>
  <c r="AF68" i="310"/>
  <c r="AQ55" i="308"/>
  <c r="AF168" i="310"/>
  <c r="AG169" i="310"/>
  <c r="AG188" i="310"/>
  <c r="AR54" i="308"/>
  <c r="AC202" i="310"/>
  <c r="AF129" i="310"/>
  <c r="AE157" i="310"/>
  <c r="AE159" i="310"/>
  <c r="AE70" i="310"/>
  <c r="AE112" i="310"/>
  <c r="AF138" i="310"/>
  <c r="AF142" i="310"/>
  <c r="AF145" i="310"/>
  <c r="AD222" i="310"/>
  <c r="AD192" i="310"/>
  <c r="AE194" i="310"/>
  <c r="AD110" i="310"/>
  <c r="AD119" i="310"/>
  <c r="AD221" i="310"/>
  <c r="AD123" i="310"/>
  <c r="AE125" i="310"/>
  <c r="AE131" i="310"/>
  <c r="AE137" i="310"/>
  <c r="AE139" i="310"/>
  <c r="AC203" i="310"/>
  <c r="AB202" i="310"/>
  <c r="AD147" i="310"/>
  <c r="AD198" i="310"/>
  <c r="AG71" i="310"/>
  <c r="AG73" i="310"/>
  <c r="AG127" i="310"/>
  <c r="AH129" i="310"/>
  <c r="AG68" i="310"/>
  <c r="AR55" i="308"/>
  <c r="AG168" i="310"/>
  <c r="AH169" i="310"/>
  <c r="AH188" i="310"/>
  <c r="AS54" i="308"/>
  <c r="AE192" i="310"/>
  <c r="AF194" i="310"/>
  <c r="AE222" i="310"/>
  <c r="AF70" i="310"/>
  <c r="AF112" i="310"/>
  <c r="AG138" i="310"/>
  <c r="AF157" i="310"/>
  <c r="AF159" i="310"/>
  <c r="AG142" i="310"/>
  <c r="AG145" i="310"/>
  <c r="AE147" i="310"/>
  <c r="AE198" i="310"/>
  <c r="AE110" i="310"/>
  <c r="AE119" i="310"/>
  <c r="AE221" i="310"/>
  <c r="AE123" i="310"/>
  <c r="AF125" i="310"/>
  <c r="AF131" i="310"/>
  <c r="AF137" i="310"/>
  <c r="AF139" i="310"/>
  <c r="AD219" i="310"/>
  <c r="AD199" i="310"/>
  <c r="AF147" i="310"/>
  <c r="AF198" i="310"/>
  <c r="AF199" i="310"/>
  <c r="AE219" i="310"/>
  <c r="AE199" i="310"/>
  <c r="AE203" i="310"/>
  <c r="AD202" i="310"/>
  <c r="AD203" i="310"/>
  <c r="AF192" i="310"/>
  <c r="AG194" i="310"/>
  <c r="AF222" i="310"/>
  <c r="AH71" i="310"/>
  <c r="AH73" i="310"/>
  <c r="AH127" i="310"/>
  <c r="AI129" i="310"/>
  <c r="AH68" i="310"/>
  <c r="AS55" i="308"/>
  <c r="AH168" i="310"/>
  <c r="AI169" i="310"/>
  <c r="AI188" i="310"/>
  <c r="AT54" i="308"/>
  <c r="AF123" i="310"/>
  <c r="AG125" i="310"/>
  <c r="AG131" i="310"/>
  <c r="AF110" i="310"/>
  <c r="AF119" i="310"/>
  <c r="AF221" i="310"/>
  <c r="AG137" i="310"/>
  <c r="AG139" i="310"/>
  <c r="AG70" i="310"/>
  <c r="AG112" i="310"/>
  <c r="AH138" i="310"/>
  <c r="AG157" i="310"/>
  <c r="AG159" i="310"/>
  <c r="AH145" i="310"/>
  <c r="AH142" i="310"/>
  <c r="AF219" i="310"/>
  <c r="AG147" i="310"/>
  <c r="AG198" i="310"/>
  <c r="AG199" i="310"/>
  <c r="AG203" i="310"/>
  <c r="AG219" i="310"/>
  <c r="AH157" i="310"/>
  <c r="AH159" i="310"/>
  <c r="AH112" i="310"/>
  <c r="AI138" i="310"/>
  <c r="AH70" i="310"/>
  <c r="AI145" i="310"/>
  <c r="AI142" i="310"/>
  <c r="AG123" i="310"/>
  <c r="AH125" i="310"/>
  <c r="AH131" i="310"/>
  <c r="AG110" i="310"/>
  <c r="AG119" i="310"/>
  <c r="AG221" i="310"/>
  <c r="AH137" i="310"/>
  <c r="AH139" i="310"/>
  <c r="AF202" i="310"/>
  <c r="AE202" i="310"/>
  <c r="AF203" i="310"/>
  <c r="AI68" i="310"/>
  <c r="AI71" i="310"/>
  <c r="AI73" i="310"/>
  <c r="AI127" i="310"/>
  <c r="AJ129" i="310"/>
  <c r="AT55" i="308"/>
  <c r="AI168" i="310"/>
  <c r="AJ169" i="310"/>
  <c r="AJ188" i="310"/>
  <c r="AU54" i="308"/>
  <c r="AG222" i="310"/>
  <c r="AG192" i="310"/>
  <c r="AH194" i="310"/>
  <c r="AI70" i="310"/>
  <c r="AI112" i="310"/>
  <c r="AJ138" i="310"/>
  <c r="AI157" i="310"/>
  <c r="AI159" i="310"/>
  <c r="AJ145" i="310"/>
  <c r="AJ142" i="310"/>
  <c r="AH110" i="310"/>
  <c r="AH119" i="310"/>
  <c r="AH221" i="310"/>
  <c r="AH123" i="310"/>
  <c r="AI125" i="310"/>
  <c r="AI131" i="310"/>
  <c r="AI137" i="310"/>
  <c r="AI139" i="310"/>
  <c r="AJ71" i="310"/>
  <c r="AJ73" i="310"/>
  <c r="AJ127" i="310"/>
  <c r="AK129" i="310"/>
  <c r="AJ68" i="310"/>
  <c r="AV54" i="308"/>
  <c r="AU55" i="308"/>
  <c r="AJ168" i="310"/>
  <c r="AK169" i="310"/>
  <c r="AK188" i="310"/>
  <c r="AI147" i="310"/>
  <c r="AI198" i="310"/>
  <c r="AG202" i="310"/>
  <c r="AH222" i="310"/>
  <c r="AH192" i="310"/>
  <c r="AI194" i="310"/>
  <c r="AH147" i="310"/>
  <c r="AH198" i="310"/>
  <c r="AK71" i="310"/>
  <c r="AK73" i="310"/>
  <c r="AK127" i="310"/>
  <c r="AL129" i="310"/>
  <c r="AK68" i="310"/>
  <c r="AV55" i="308"/>
  <c r="AK168" i="310"/>
  <c r="AL169" i="310"/>
  <c r="AL188" i="310"/>
  <c r="AW54" i="308"/>
  <c r="AI199" i="310"/>
  <c r="AI219" i="310"/>
  <c r="AI123" i="310"/>
  <c r="AJ125" i="310"/>
  <c r="AJ131" i="310"/>
  <c r="AI110" i="310"/>
  <c r="AI119" i="310"/>
  <c r="AI221" i="310"/>
  <c r="AJ137" i="310"/>
  <c r="AJ139" i="310"/>
  <c r="AH199" i="310"/>
  <c r="AH219" i="310"/>
  <c r="AI222" i="310"/>
  <c r="AI192" i="310"/>
  <c r="AJ194" i="310"/>
  <c r="AJ112" i="310"/>
  <c r="AK138" i="310"/>
  <c r="AJ157" i="310"/>
  <c r="AJ159" i="310"/>
  <c r="AJ70" i="310"/>
  <c r="AK145" i="310"/>
  <c r="AK142" i="310"/>
  <c r="AL71" i="310"/>
  <c r="AL73" i="310"/>
  <c r="AL127" i="310"/>
  <c r="AM129" i="310"/>
  <c r="AL68" i="310"/>
  <c r="AX54" i="308"/>
  <c r="AW55" i="308"/>
  <c r="AL168" i="310"/>
  <c r="AM169" i="310"/>
  <c r="AM188" i="310"/>
  <c r="AJ123" i="310"/>
  <c r="AK125" i="310"/>
  <c r="AK131" i="310"/>
  <c r="AJ110" i="310"/>
  <c r="AJ119" i="310"/>
  <c r="AJ221" i="310"/>
  <c r="AK137" i="310"/>
  <c r="AK139" i="310"/>
  <c r="AH202" i="310"/>
  <c r="AI203" i="310"/>
  <c r="AH203" i="310"/>
  <c r="AK157" i="310"/>
  <c r="AK159" i="310"/>
  <c r="AK112" i="310"/>
  <c r="AL138" i="310"/>
  <c r="AK70" i="310"/>
  <c r="AL145" i="310"/>
  <c r="AL142" i="310"/>
  <c r="AJ222" i="310"/>
  <c r="AJ192" i="310"/>
  <c r="AK194" i="310"/>
  <c r="AJ147" i="310"/>
  <c r="AJ198" i="310"/>
  <c r="AI202" i="310"/>
  <c r="AK147" i="310"/>
  <c r="AK198" i="310"/>
  <c r="AK199" i="310"/>
  <c r="AK219" i="310"/>
  <c r="AK192" i="310"/>
  <c r="AL194" i="310"/>
  <c r="AK222" i="310"/>
  <c r="AL112" i="310"/>
  <c r="AM138" i="310"/>
  <c r="AL157" i="310"/>
  <c r="AL159" i="310"/>
  <c r="AL70" i="310"/>
  <c r="AM142" i="310"/>
  <c r="AM145" i="310"/>
  <c r="AK123" i="310"/>
  <c r="AL125" i="310"/>
  <c r="AL131" i="310"/>
  <c r="AK110" i="310"/>
  <c r="AK119" i="310"/>
  <c r="AK221" i="310"/>
  <c r="AL137" i="310"/>
  <c r="AL139" i="310"/>
  <c r="AM71" i="310"/>
  <c r="AM73" i="310"/>
  <c r="AM127" i="310"/>
  <c r="AN129" i="310"/>
  <c r="AM68" i="310"/>
  <c r="AX55" i="308"/>
  <c r="AM168" i="310"/>
  <c r="AN169" i="310"/>
  <c r="AY54" i="308"/>
  <c r="AJ199" i="310"/>
  <c r="AJ219" i="310"/>
  <c r="AM157" i="310"/>
  <c r="AM159" i="310"/>
  <c r="AM70" i="310"/>
  <c r="AM112" i="310"/>
  <c r="AN138" i="310"/>
  <c r="AN145" i="310"/>
  <c r="AN142" i="310"/>
  <c r="AJ202" i="310"/>
  <c r="AK203" i="310"/>
  <c r="AJ203" i="310"/>
  <c r="AN68" i="310"/>
  <c r="AN71" i="310"/>
  <c r="AY55" i="308"/>
  <c r="AN168" i="310"/>
  <c r="N54" i="308"/>
  <c r="AL147" i="310"/>
  <c r="AL198" i="310"/>
  <c r="AL123" i="310"/>
  <c r="AM125" i="310"/>
  <c r="AM131" i="310"/>
  <c r="AL110" i="310"/>
  <c r="AL119" i="310"/>
  <c r="AL221" i="310"/>
  <c r="AM137" i="310"/>
  <c r="AM139" i="310"/>
  <c r="AL222" i="310"/>
  <c r="AL192" i="310"/>
  <c r="AM194" i="310"/>
  <c r="AK202" i="310"/>
  <c r="AN188" i="310"/>
  <c r="AM123" i="310"/>
  <c r="AN125" i="310"/>
  <c r="AN131" i="310"/>
  <c r="AM110" i="310"/>
  <c r="AM119" i="310"/>
  <c r="AM221" i="310"/>
  <c r="AN137" i="310"/>
  <c r="AN139" i="310"/>
  <c r="AN73" i="310"/>
  <c r="AN127" i="310"/>
  <c r="F71" i="310"/>
  <c r="AM147" i="310"/>
  <c r="AM198" i="310"/>
  <c r="AN157" i="310"/>
  <c r="AN159" i="310"/>
  <c r="AN112" i="310"/>
  <c r="AN70" i="310"/>
  <c r="F68" i="310"/>
  <c r="AL219" i="310"/>
  <c r="AL199" i="310"/>
  <c r="AM222" i="310"/>
  <c r="AM192" i="310"/>
  <c r="AN194" i="310"/>
  <c r="AN147" i="310"/>
  <c r="AN198" i="310"/>
  <c r="AN199" i="310"/>
  <c r="AN192" i="310"/>
  <c r="AN222" i="310"/>
  <c r="AM199" i="310"/>
  <c r="AM203" i="310"/>
  <c r="AM219" i="310"/>
  <c r="AN110" i="310"/>
  <c r="AN119" i="310"/>
  <c r="AN221" i="310"/>
  <c r="AN123" i="310"/>
  <c r="AN219" i="310"/>
  <c r="AL202" i="310"/>
  <c r="AL203" i="310"/>
  <c r="AN202" i="310"/>
  <c r="AN203" i="310"/>
  <c r="AM202" i="310"/>
  <c r="AB55" i="308"/>
  <c r="Q168" i="310"/>
  <c r="R169" i="310"/>
  <c r="F168" i="310"/>
  <c r="R188" i="310"/>
  <c r="R198" i="310"/>
  <c r="F169" i="310"/>
  <c r="R219" i="310"/>
  <c r="R199" i="310"/>
  <c r="R203" i="310"/>
  <c r="R213" i="310"/>
  <c r="R202" i="310"/>
  <c r="R204" i="310"/>
  <c r="R207" i="310"/>
  <c r="S203" i="310"/>
  <c r="R208" i="310"/>
  <c r="R211" i="310"/>
  <c r="R209" i="310"/>
  <c r="R212" i="310"/>
  <c r="S213" i="310"/>
  <c r="R205" i="310"/>
  <c r="S201" i="310"/>
  <c r="S204" i="310"/>
  <c r="S207" i="310"/>
  <c r="S205" i="310"/>
  <c r="T201" i="310"/>
  <c r="R215" i="310"/>
  <c r="R220" i="310"/>
  <c r="R223" i="310"/>
  <c r="R229" i="310"/>
  <c r="R230" i="310"/>
  <c r="R224" i="310"/>
  <c r="T204" i="310"/>
  <c r="T207" i="310"/>
  <c r="T205" i="310"/>
  <c r="U201" i="310"/>
  <c r="S208" i="310"/>
  <c r="S211" i="310"/>
  <c r="S209" i="310"/>
  <c r="S212" i="310"/>
  <c r="T213" i="310"/>
  <c r="S215" i="310"/>
  <c r="S220" i="310"/>
  <c r="S223" i="310"/>
  <c r="U204" i="310"/>
  <c r="U207" i="310"/>
  <c r="U205" i="310"/>
  <c r="V201" i="310"/>
  <c r="T208" i="310"/>
  <c r="T211" i="310"/>
  <c r="T209" i="310"/>
  <c r="T212" i="310"/>
  <c r="U213" i="310"/>
  <c r="R231" i="310"/>
  <c r="T215" i="310"/>
  <c r="T220" i="310"/>
  <c r="T223" i="310"/>
  <c r="V204" i="310"/>
  <c r="V207" i="310"/>
  <c r="V205" i="310"/>
  <c r="W201" i="310"/>
  <c r="U208" i="310"/>
  <c r="U211" i="310"/>
  <c r="U209" i="310"/>
  <c r="U212" i="310"/>
  <c r="V213" i="310"/>
  <c r="S224" i="310"/>
  <c r="S229" i="310"/>
  <c r="S230" i="310"/>
  <c r="S231" i="310"/>
  <c r="U215" i="310"/>
  <c r="U220" i="310"/>
  <c r="U223" i="310"/>
  <c r="W204" i="310"/>
  <c r="W207" i="310"/>
  <c r="W205" i="310"/>
  <c r="X201" i="310"/>
  <c r="V208" i="310"/>
  <c r="V211" i="310"/>
  <c r="V209" i="310"/>
  <c r="V212" i="310"/>
  <c r="W213" i="310"/>
  <c r="T229" i="310"/>
  <c r="T230" i="310"/>
  <c r="T224" i="310"/>
  <c r="T231" i="310"/>
  <c r="V215" i="310"/>
  <c r="V220" i="310"/>
  <c r="V223" i="310"/>
  <c r="X204" i="310"/>
  <c r="X207" i="310"/>
  <c r="X205" i="310"/>
  <c r="Y201" i="310"/>
  <c r="W208" i="310"/>
  <c r="W211" i="310"/>
  <c r="W209" i="310"/>
  <c r="W212" i="310"/>
  <c r="X213" i="310"/>
  <c r="U229" i="310"/>
  <c r="U230" i="310"/>
  <c r="U224" i="310"/>
  <c r="U231" i="310"/>
  <c r="W215" i="310"/>
  <c r="W220" i="310"/>
  <c r="W223" i="310"/>
  <c r="Y204" i="310"/>
  <c r="Y207" i="310"/>
  <c r="Y205" i="310"/>
  <c r="Z201" i="310"/>
  <c r="X208" i="310"/>
  <c r="X211" i="310"/>
  <c r="X209" i="310"/>
  <c r="X212" i="310"/>
  <c r="Y213" i="310"/>
  <c r="V229" i="310"/>
  <c r="V230" i="310"/>
  <c r="V224" i="310"/>
  <c r="V231" i="310"/>
  <c r="X215" i="310"/>
  <c r="X220" i="310"/>
  <c r="X223" i="310"/>
  <c r="Z204" i="310"/>
  <c r="Z207" i="310"/>
  <c r="Z205" i="310"/>
  <c r="AA201" i="310"/>
  <c r="Y208" i="310"/>
  <c r="Y211" i="310"/>
  <c r="Y209" i="310"/>
  <c r="Y212" i="310"/>
  <c r="Z213" i="310"/>
  <c r="W224" i="310"/>
  <c r="W229" i="310"/>
  <c r="W230" i="310"/>
  <c r="W231" i="310"/>
  <c r="Y215" i="310"/>
  <c r="Y220" i="310"/>
  <c r="Y223" i="310"/>
  <c r="AA204" i="310"/>
  <c r="AA207" i="310"/>
  <c r="AA205" i="310"/>
  <c r="AB201" i="310"/>
  <c r="Z208" i="310"/>
  <c r="Z211" i="310"/>
  <c r="Z209" i="310"/>
  <c r="Z212" i="310"/>
  <c r="AA213" i="310"/>
  <c r="X224" i="310"/>
  <c r="X229" i="310"/>
  <c r="X230" i="310"/>
  <c r="X231" i="310"/>
  <c r="Z215" i="310"/>
  <c r="Z220" i="310"/>
  <c r="Z223" i="310"/>
  <c r="AB204" i="310"/>
  <c r="AB207" i="310"/>
  <c r="AB205" i="310"/>
  <c r="AC201" i="310"/>
  <c r="AA208" i="310"/>
  <c r="AA211" i="310"/>
  <c r="AA209" i="310"/>
  <c r="AA212" i="310"/>
  <c r="AB213" i="310"/>
  <c r="Y224" i="310"/>
  <c r="Y229" i="310"/>
  <c r="Y230" i="310"/>
  <c r="Y231" i="310"/>
  <c r="AA215" i="310"/>
  <c r="AA220" i="310"/>
  <c r="AA223" i="310"/>
  <c r="AC204" i="310"/>
  <c r="AC207" i="310"/>
  <c r="AC205" i="310"/>
  <c r="AD201" i="310"/>
  <c r="AB208" i="310"/>
  <c r="AB211" i="310"/>
  <c r="AB209" i="310"/>
  <c r="AB212" i="310"/>
  <c r="AC213" i="310"/>
  <c r="Z224" i="310"/>
  <c r="Z229" i="310"/>
  <c r="Z230" i="310"/>
  <c r="Z231" i="310"/>
  <c r="AB215" i="310"/>
  <c r="AB220" i="310"/>
  <c r="AB223" i="310"/>
  <c r="AD204" i="310"/>
  <c r="AD207" i="310"/>
  <c r="AD205" i="310"/>
  <c r="AE201" i="310"/>
  <c r="AC208" i="310"/>
  <c r="AC211" i="310"/>
  <c r="AC209" i="310"/>
  <c r="AC212" i="310"/>
  <c r="AD213" i="310"/>
  <c r="AA229" i="310"/>
  <c r="AA230" i="310"/>
  <c r="AA224" i="310"/>
  <c r="AA231" i="310"/>
  <c r="AC215" i="310"/>
  <c r="AC220" i="310"/>
  <c r="AC223" i="310"/>
  <c r="AE204" i="310"/>
  <c r="AE207" i="310"/>
  <c r="AE205" i="310"/>
  <c r="AF201" i="310"/>
  <c r="AD208" i="310"/>
  <c r="AD211" i="310"/>
  <c r="AD209" i="310"/>
  <c r="AD212" i="310"/>
  <c r="AE213" i="310"/>
  <c r="AB229" i="310"/>
  <c r="AB230" i="310"/>
  <c r="AB224" i="310"/>
  <c r="AB231" i="310"/>
  <c r="AD215" i="310"/>
  <c r="AD220" i="310"/>
  <c r="AD223" i="310"/>
  <c r="AF204" i="310"/>
  <c r="AF207" i="310"/>
  <c r="AF205" i="310"/>
  <c r="AG201" i="310"/>
  <c r="AE208" i="310"/>
  <c r="AE211" i="310"/>
  <c r="AE209" i="310"/>
  <c r="AE212" i="310"/>
  <c r="AF213" i="310"/>
  <c r="AC224" i="310"/>
  <c r="AC229" i="310"/>
  <c r="AC230" i="310"/>
  <c r="AC231" i="310"/>
  <c r="AE215" i="310"/>
  <c r="AE220" i="310"/>
  <c r="AE223" i="310"/>
  <c r="AG204" i="310"/>
  <c r="AG207" i="310"/>
  <c r="AG205" i="310"/>
  <c r="AH201" i="310"/>
  <c r="AF208" i="310"/>
  <c r="AF211" i="310"/>
  <c r="AF209" i="310"/>
  <c r="AF212" i="310"/>
  <c r="AG213" i="310"/>
  <c r="AD229" i="310"/>
  <c r="AD230" i="310"/>
  <c r="AD224" i="310"/>
  <c r="AD231" i="310"/>
  <c r="AF215" i="310"/>
  <c r="AF220" i="310"/>
  <c r="AF223" i="310"/>
  <c r="AH204" i="310"/>
  <c r="AH207" i="310"/>
  <c r="AH205" i="310"/>
  <c r="AI201" i="310"/>
  <c r="AG208" i="310"/>
  <c r="AG211" i="310"/>
  <c r="AG209" i="310"/>
  <c r="AG212" i="310"/>
  <c r="AH213" i="310"/>
  <c r="AE224" i="310"/>
  <c r="AE229" i="310"/>
  <c r="AE230" i="310"/>
  <c r="AE231" i="310"/>
  <c r="AG215" i="310"/>
  <c r="AG220" i="310"/>
  <c r="AG223" i="310"/>
  <c r="AI204" i="310"/>
  <c r="AI207" i="310"/>
  <c r="AI205" i="310"/>
  <c r="AJ201" i="310"/>
  <c r="AH208" i="310"/>
  <c r="AH211" i="310"/>
  <c r="AH209" i="310"/>
  <c r="AH212" i="310"/>
  <c r="AI213" i="310"/>
  <c r="AF229" i="310"/>
  <c r="AF230" i="310"/>
  <c r="AF224" i="310"/>
  <c r="AF231" i="310"/>
  <c r="AH215" i="310"/>
  <c r="AH220" i="310"/>
  <c r="AH223" i="310"/>
  <c r="AJ204" i="310"/>
  <c r="AJ207" i="310"/>
  <c r="AJ205" i="310"/>
  <c r="AK201" i="310"/>
  <c r="AI208" i="310"/>
  <c r="AI211" i="310"/>
  <c r="AI209" i="310"/>
  <c r="AI212" i="310"/>
  <c r="AJ213" i="310"/>
  <c r="AG224" i="310"/>
  <c r="AG229" i="310"/>
  <c r="AG230" i="310"/>
  <c r="AG231" i="310"/>
  <c r="AI215" i="310"/>
  <c r="AI220" i="310"/>
  <c r="AI223" i="310"/>
  <c r="AK204" i="310"/>
  <c r="AK207" i="310"/>
  <c r="AK205" i="310"/>
  <c r="AL201" i="310"/>
  <c r="AJ208" i="310"/>
  <c r="AJ211" i="310"/>
  <c r="AJ209" i="310"/>
  <c r="AJ212" i="310"/>
  <c r="AK213" i="310"/>
  <c r="AH229" i="310"/>
  <c r="AH230" i="310"/>
  <c r="AH224" i="310"/>
  <c r="AH231" i="310"/>
  <c r="AJ215" i="310"/>
  <c r="AJ220" i="310"/>
  <c r="AJ223" i="310"/>
  <c r="AL204" i="310"/>
  <c r="AL207" i="310"/>
  <c r="AL205" i="310"/>
  <c r="AM201" i="310"/>
  <c r="AK208" i="310"/>
  <c r="AK211" i="310"/>
  <c r="AK209" i="310"/>
  <c r="AK212" i="310"/>
  <c r="AL213" i="310"/>
  <c r="AI224" i="310"/>
  <c r="AI229" i="310"/>
  <c r="AI230" i="310"/>
  <c r="AI231" i="310"/>
  <c r="AK215" i="310"/>
  <c r="AK220" i="310"/>
  <c r="AK223" i="310"/>
  <c r="AM204" i="310"/>
  <c r="AM207" i="310"/>
  <c r="AM205" i="310"/>
  <c r="AN201" i="310"/>
  <c r="AL208" i="310"/>
  <c r="AL211" i="310"/>
  <c r="AL209" i="310"/>
  <c r="AL212" i="310"/>
  <c r="AM213" i="310"/>
  <c r="AJ229" i="310"/>
  <c r="AJ230" i="310"/>
  <c r="AJ224" i="310"/>
  <c r="AJ231" i="310"/>
  <c r="AL215" i="310"/>
  <c r="AL220" i="310"/>
  <c r="AL223" i="310"/>
  <c r="AN204" i="310"/>
  <c r="AN207" i="310"/>
  <c r="AN205" i="310"/>
  <c r="AM208" i="310"/>
  <c r="AM211" i="310"/>
  <c r="AM209" i="310"/>
  <c r="AM212" i="310"/>
  <c r="AN213" i="310"/>
  <c r="AK224" i="310"/>
  <c r="AK229" i="310"/>
  <c r="AK230" i="310"/>
  <c r="AK231" i="310"/>
  <c r="AM215" i="310"/>
  <c r="AM220" i="310"/>
  <c r="AM223" i="310"/>
  <c r="AN208" i="310"/>
  <c r="AN211" i="310"/>
  <c r="AN209" i="310"/>
  <c r="AN212" i="310"/>
  <c r="AL229" i="310"/>
  <c r="AL230" i="310"/>
  <c r="AL224" i="310"/>
  <c r="AL231" i="310"/>
  <c r="AN215" i="310"/>
  <c r="AN220" i="310"/>
  <c r="AN223" i="310"/>
  <c r="AM229" i="310"/>
  <c r="AM230" i="310"/>
  <c r="AM224" i="310"/>
  <c r="AM231" i="310"/>
  <c r="AN224" i="310"/>
  <c r="AN229" i="310"/>
  <c r="AN230" i="310"/>
  <c r="AN231" i="310"/>
  <c r="F230" i="310"/>
  <c r="F231" i="310"/>
  <c r="J18" i="316"/>
  <c r="Q180" i="214"/>
  <c r="P211" i="214"/>
  <c r="P180" i="214"/>
  <c r="Q200" i="214"/>
  <c r="Q207" i="214"/>
  <c r="Q211" i="214"/>
  <c r="N2" i="188"/>
  <c r="P212" i="214"/>
  <c r="Q26" i="234"/>
  <c r="P26" i="234"/>
  <c r="H26" i="234"/>
  <c r="F26" i="234"/>
  <c r="L26" i="234"/>
  <c r="K26" i="234"/>
  <c r="O26" i="234"/>
  <c r="G26" i="234"/>
  <c r="N26" i="234"/>
  <c r="M26" i="234"/>
  <c r="E26" i="234"/>
  <c r="D26" i="234"/>
  <c r="C26" i="234"/>
  <c r="J26" i="234"/>
  <c r="I26" i="234"/>
  <c r="T2" i="188"/>
  <c r="J233" i="310"/>
  <c r="Q218" i="214"/>
  <c r="Q2" i="188"/>
  <c r="F233" i="310"/>
  <c r="J234" i="310"/>
  <c r="K234" i="310"/>
  <c r="L234" i="310"/>
  <c r="M234" i="310"/>
  <c r="N234" i="310"/>
  <c r="O234" i="310"/>
  <c r="P234" i="310"/>
  <c r="Q234" i="310"/>
  <c r="R234" i="310"/>
  <c r="S234" i="310"/>
  <c r="T234" i="310"/>
  <c r="U234" i="310"/>
  <c r="V234" i="310"/>
  <c r="W234" i="310"/>
  <c r="X234" i="310"/>
  <c r="Y234" i="310"/>
  <c r="Z234" i="310"/>
  <c r="AA234" i="310"/>
  <c r="AB234" i="310"/>
  <c r="AC234" i="310"/>
  <c r="AD234" i="310"/>
  <c r="AE234" i="310"/>
  <c r="AF234" i="310"/>
  <c r="AG234" i="310"/>
  <c r="AH234" i="310"/>
  <c r="AI234" i="310"/>
  <c r="AJ234" i="310"/>
  <c r="AK234" i="310"/>
  <c r="AL234" i="310"/>
  <c r="AM234" i="310"/>
  <c r="AN234" i="310"/>
  <c r="Q220" i="214"/>
  <c r="D7" i="93"/>
  <c r="F7" i="93"/>
  <c r="B12" i="93"/>
  <c r="B19" i="93"/>
  <c r="C19" i="9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<sst xmlns="http://schemas.openxmlformats.org/spreadsheetml/2006/main" count="1065" uniqueCount="742">
  <si>
    <t xml:space="preserve">Voor u begint </t>
  </si>
  <si>
    <t>Model exploitatieberekening</t>
  </si>
  <si>
    <t>Warmtenetten Investeringssubsidie (WIS)</t>
  </si>
  <si>
    <t>Versie 2024  1.2</t>
  </si>
  <si>
    <t>Versie 1.2 (06-11-2024 | aanpassing maximale vastrecht vanwege correctie ACM)</t>
  </si>
  <si>
    <t>Gebruik altijd de laatste versie van het model. Deze vindt u op www.rvo.nl/wis</t>
  </si>
  <si>
    <t>Voor u begint</t>
  </si>
  <si>
    <t xml:space="preserve">In dit document ziet u gele en blauwe tabbladen. Op de gele tabbladen vult u gegevens in. Op de blauwe vindt u alleen informatie. </t>
  </si>
  <si>
    <t xml:space="preserve">Op de gele tabbladen zijn de cellen die u zelf invult geel gemarkeerd. Blauwe cellen zijn informatief en worden automatisch </t>
  </si>
  <si>
    <t xml:space="preserve">of later door ons ingevuld. De investeringskosten die onder de subsidie vallen en de subsidie die u vraagt vult u in op het tabblad 'Begroting'.  </t>
  </si>
  <si>
    <t>Let op: wij moeten kunnen zien waar de gegevens vandaan komen, de gegevens moeten hetzelfde zijn als in andere stukken, en u moet alles invullen.</t>
  </si>
  <si>
    <t>Zorg ervoor dat we de investeringskosten kunnen herleiden naar en aansluiten op uw model exploitatieberekening.</t>
  </si>
  <si>
    <t>Voeg kostenramingen, kostencalculaties of offertes toe.</t>
  </si>
  <si>
    <t>U gebruikt in het tabblad 'Begroting' in de tabellen de kolom 'Segment VO' om de koppeling met andere stukken te maken. Daarvoor codeert u</t>
  </si>
  <si>
    <t xml:space="preserve">bijvoorbeeld in het voorlopig ontwerp (VO) bepaalde leidingen of gebieden en gebruikt u deze code in het tabblad Begroting. </t>
  </si>
  <si>
    <t xml:space="preserve">De onderbouwing van de gegevens die u in deze Excel invult, neemt u ook op in uw projectplan. Ook voegt u gevraagde bijlagen toe. </t>
  </si>
  <si>
    <t xml:space="preserve">Sluiten gegevens en stukken niet op elkaar aan? Dit kan zorgen voor een afwijzing op kwaliteit van het project. </t>
  </si>
  <si>
    <t>Uitleg gele tabbladen</t>
  </si>
  <si>
    <t>Bovenaan een geel tabblad staat een korte toelichting. Voor het tabblad 'begroting' is een apart tabblad 'toelichting begroting' opgesteld.</t>
  </si>
  <si>
    <r>
      <rPr>
        <b/>
        <sz val="9"/>
        <rFont val="Verdana"/>
        <family val="2"/>
      </rPr>
      <t>Project</t>
    </r>
    <r>
      <rPr>
        <sz val="9"/>
        <rFont val="Verdana"/>
        <family val="2"/>
      </rPr>
      <t>: Dit tabblad vult u altijd als eerste in.</t>
    </r>
  </si>
  <si>
    <r>
      <rPr>
        <b/>
        <sz val="9"/>
        <rFont val="Verdana"/>
        <family val="2"/>
      </rPr>
      <t>Begroting</t>
    </r>
    <r>
      <rPr>
        <sz val="9"/>
        <rFont val="Verdana"/>
        <family val="2"/>
      </rPr>
      <t>: In dit tabblad vult u de investeringskosten in en eventuele andere subsidies. De onrendabele top wordt automatisch opgenomen</t>
    </r>
  </si>
  <si>
    <t xml:space="preserve">als u het tabblad 'ORT uitgangspunten' en de kosten en de mijlpalen op tabblad 'begroting' en 'mijlpalenbegroting' compleet invult. </t>
  </si>
  <si>
    <r>
      <t>Overdrachtstations:</t>
    </r>
    <r>
      <rPr>
        <sz val="9"/>
        <rFont val="Verdana"/>
        <family val="2"/>
      </rPr>
      <t xml:space="preserve"> Als u in een gebouw waar een overdrachtstation in zit, ook installaties plaatst die niet onder de subsidie vallen (bijvoorbeeld warmteopslag of een </t>
    </r>
  </si>
  <si>
    <t xml:space="preserve">warmtepomp), dan worden de kosten voor gebouw en de gedeelde voorzieningen in dit tabblad uitgesplitst. </t>
  </si>
  <si>
    <r>
      <rPr>
        <b/>
        <sz val="9"/>
        <rFont val="Verdana"/>
        <family val="2"/>
      </rPr>
      <t>Mijlpalenbegroting</t>
    </r>
    <r>
      <rPr>
        <sz val="9"/>
        <rFont val="Verdana"/>
        <family val="2"/>
      </rPr>
      <t xml:space="preserve">: In de regeling is vastgelegd dat u een mijlpalenbegroting moet maken en gebruiken. In dit tabblad vult u per mijlpaal de looptijd en </t>
    </r>
  </si>
  <si>
    <t>een omschrijving van de mijlpaal in.</t>
  </si>
  <si>
    <r>
      <t xml:space="preserve">ORT uitgangspunten: </t>
    </r>
    <r>
      <rPr>
        <sz val="9"/>
        <rFont val="Verdana"/>
        <family val="2"/>
      </rPr>
      <t>in dit tabblad vult u een aantal uitgangspunten in voor uw onrendabele top berekening. De investeringskosten die u invult</t>
    </r>
  </si>
  <si>
    <t>in de ORT-berekening worden automatisch overgenomen uit het tabblad 'begroting'.</t>
  </si>
  <si>
    <r>
      <rPr>
        <b/>
        <sz val="9"/>
        <rFont val="Verdana"/>
        <family val="2"/>
      </rPr>
      <t>Financiering</t>
    </r>
    <r>
      <rPr>
        <sz val="9"/>
        <rFont val="Verdana"/>
        <family val="2"/>
      </rPr>
      <t>: De gegevens uit het tabblad 'Project' en de begrotingstabbladen ziet u in het blauwe deel. Vul in de gele gedeelten in hoe u het</t>
    </r>
  </si>
  <si>
    <t>bedrag dat over blijft financiert.</t>
  </si>
  <si>
    <t>Voor welke kosten krijgt u subsidie?</t>
  </si>
  <si>
    <t xml:space="preserve">1. U krijg subsidie voor: </t>
  </si>
  <si>
    <t xml:space="preserve">    Investeringen in het warmtenet voor de levering van warmte aan kleinverbruikers in de bestaande bouw;</t>
  </si>
  <si>
    <t xml:space="preserve">    Investeringen in het warmtenet tot een blokaansluiting.  </t>
  </si>
  <si>
    <t>2. Legt u een nieuw efficiënt warmtenet aan voor kleinverbruikaansluitingen in woningen in de bestaande gebouwen én grootverbruikaansluitingen en/of nieuwbouw?</t>
  </si>
  <si>
    <t xml:space="preserve">    Dan heeft u een gecombineerd project. Dan worden de kosten die vallen onder de subsidie per onderdeel van het warmtenet </t>
  </si>
  <si>
    <t xml:space="preserve">    als volgt bepaald:</t>
  </si>
  <si>
    <t xml:space="preserve">  Ka: zijn de kosten die vallen onder de subsidie van dat onderdeel.</t>
  </si>
  <si>
    <t xml:space="preserve">  Pkv: is het vermogen dat nodig is voor de warmtelevering aan kleinverbruikers dat via dat onderdeel geleverd wordt.</t>
  </si>
  <si>
    <t xml:space="preserve">  Pbv: is het vermogen dat nodig is voor de warmtelevering aan blokaansluitingen dat via dat onderdeel geleverd wordt.</t>
  </si>
  <si>
    <t xml:space="preserve">  Po: is het vermogen dat nodig is voor de warmtelevering aan grootverbruikers en/of nieuwbouw dat via dat onderdeel geleverd wordt.</t>
  </si>
  <si>
    <t xml:space="preserve">  Kt: zijn de totale kosten van dat onderdeel. </t>
  </si>
  <si>
    <t>Op basis van deze gegevens en bovenstaande berekening, wordt op het tabblad 'Begroting' berekend voor welke investeringen u subsidie krijgt en welke niet. De</t>
  </si>
  <si>
    <t xml:space="preserve">investeringen waarvoor u subsidie krijgt gebruiken we ook voor de berekening van de onrendabele top. </t>
  </si>
  <si>
    <t>Per kleinverbruikersaansluiting hanteren we een vast vermogen van 6 kW. Hier kunt u niet van afwijken.</t>
  </si>
  <si>
    <t>Bekijk voor een uitgebreidere toelichting de regelingstekst en ons model projectplan.</t>
  </si>
  <si>
    <t>Projectkosten</t>
  </si>
  <si>
    <t>Voer alleen kosten op die:</t>
  </si>
  <si>
    <t>• Vvoor eigen rekening komen van de entiteit waarmee u aanvraagt;</t>
  </si>
  <si>
    <t>• Kosten die rechtstreeks te maken hebben met de realisatie van het investeringsproject;</t>
  </si>
  <si>
    <r>
      <t xml:space="preserve">• Kosten die u </t>
    </r>
    <r>
      <rPr>
        <u/>
        <sz val="9"/>
        <color rgb="FF000000"/>
        <rFont val="Verdana"/>
        <family val="2"/>
      </rPr>
      <t>activeert</t>
    </r>
    <r>
      <rPr>
        <sz val="9"/>
        <color rgb="FF000000"/>
        <rFont val="Verdana"/>
        <family val="2"/>
      </rPr>
      <t xml:space="preserve"> als investering in het warmtenet, bijvoorbeeld ontwerp, projectmanagement en het aanvragen van een vergunning;</t>
    </r>
  </si>
  <si>
    <t>• Loonkosten kunt u opvoeren tegen € 65 per uur;</t>
  </si>
  <si>
    <t>• U ontvangt alleen subsidie voor de kosten die u maakt tijdens de projectperiode van het project.</t>
  </si>
  <si>
    <r>
      <t>Welke investeringskosten krijgt u niet vergoed?</t>
    </r>
    <r>
      <rPr>
        <sz val="9"/>
        <color rgb="FF000000"/>
        <rFont val="Verdana"/>
        <family val="2"/>
      </rPr>
      <t> </t>
    </r>
    <r>
      <rPr>
        <b/>
        <sz val="9"/>
        <color rgb="FF000000"/>
        <rFont val="Verdana"/>
        <family val="2"/>
      </rPr>
      <t xml:space="preserve"> </t>
    </r>
  </si>
  <si>
    <t>• Warmtenetten voor de industrie, grootverbruikers utiliteit (&gt;100 kW) of glastuinbouw;</t>
  </si>
  <si>
    <t>• Warmtenetten voor nieuwbouwwoningen;</t>
  </si>
  <si>
    <t>• Warmtebron (inclusief piek-backupinstallatie);</t>
  </si>
  <si>
    <t>• Warmteopslag;</t>
  </si>
  <si>
    <t>• Warmtepomp;</t>
  </si>
  <si>
    <t>• Binnen-installatie(s).</t>
  </si>
  <si>
    <t xml:space="preserve">Verder vallen de volgende kosten niet onder de subsidie: </t>
  </si>
  <si>
    <t>• Kosten voor de administratie, projectcontroller en kostencalculaties;</t>
  </si>
  <si>
    <t>• Kosten voor het werven van klanten/aansluitingen;</t>
  </si>
  <si>
    <t>• Juridische kosten, zoals kosten voor het oplossen van geschillen, organisatiestructuur en financiering;</t>
  </si>
  <si>
    <t xml:space="preserve">• Financieringskosten, zoals afsluitprovisie en uren die u maakt voor het krijgen van de financiering; </t>
  </si>
  <si>
    <t>• Financieringslasten. Dit zijn rentekosten en risico-opslag;</t>
  </si>
  <si>
    <t>• Kosten die u maakt voor omgevingsmanagement dat niet gericht is op de bouw van het warmtenet, zoals informatieavonden voor het krijgen van klanten en participatietrajecten;</t>
  </si>
  <si>
    <t>• Kosten voor communicatie die niet gaat over de bouwwerkzaamheden;</t>
  </si>
  <si>
    <t xml:space="preserve">• Kosten voor coördinatie voor Veiligheid, Welzijn, Gezondheid en Milieu (VGWM) die niet gericht is op de bouwplaats;  </t>
  </si>
  <si>
    <t>• Kosten voor accountmanagement met stakeholders of aandeelhouders;</t>
  </si>
  <si>
    <t>• Kosten voor algemene ondersteunende werkzaamheden, zoals secretariële ondersteuning;</t>
  </si>
  <si>
    <t>• Onvoorziene loonkosten;</t>
  </si>
  <si>
    <t>• Kosten voor projectmanagement en het verspreiden van kennis;</t>
  </si>
  <si>
    <t>Let op!</t>
  </si>
  <si>
    <t xml:space="preserve">Alle investeringskosten onderbouwt u per kostencategorie, met kostenramingen/kostenramingen en/of offertes. </t>
  </si>
  <si>
    <t xml:space="preserve">Een toelichting neemt u op in uw projectplan. Zorg dat dit aansluit met uw ontwerp. </t>
  </si>
  <si>
    <t>Btw</t>
  </si>
  <si>
    <r>
      <t>Als u van de opgevoerde kosten de betaalde btw in aftrek kunt brengen of kan terugvorderen van de fiscus, dan valt de btw</t>
    </r>
    <r>
      <rPr>
        <b/>
        <sz val="9"/>
        <rFont val="Verdana"/>
        <family val="2"/>
      </rPr>
      <t xml:space="preserve"> niet</t>
    </r>
    <r>
      <rPr>
        <sz val="9"/>
        <rFont val="Verdana"/>
        <family val="2"/>
      </rPr>
      <t xml:space="preserve"> onder subsidie.</t>
    </r>
  </si>
  <si>
    <r>
      <t>Kunt u de btw niet in aftrek brengen bij de fiscus, dan mag u de kosten inclusief betaalde btw opvoeren. De btw valt dan</t>
    </r>
    <r>
      <rPr>
        <b/>
        <sz val="9"/>
        <rFont val="Verdana"/>
        <family val="2"/>
      </rPr>
      <t xml:space="preserve"> we</t>
    </r>
    <r>
      <rPr>
        <sz val="9"/>
        <rFont val="Verdana"/>
        <family val="2"/>
      </rPr>
      <t xml:space="preserve">l onder subsidie. </t>
    </r>
  </si>
  <si>
    <t xml:space="preserve">U moet in de begroting achter het kopje btw expliciet aan geven hoe u de kosten opvoert (door het </t>
  </si>
  <si>
    <t>juiste antwoord te selecteren), zodat hier geen misverstand over kan ontstaan.</t>
  </si>
  <si>
    <t>Financiering</t>
  </si>
  <si>
    <t>Eigen bijdrage financiering (Financiering)</t>
  </si>
  <si>
    <t>U geeft in het projectplan aan hoe u de eigen bijdrage gaat financieren. Voor onderbouwing van de financiering stuurt u</t>
  </si>
  <si>
    <t>bewijsstukken op, zoals een recente jaarrekening of een investeringsovereenkomst. U financiert de eigen bijdrage met bijvoorbeeld:</t>
  </si>
  <si>
    <t xml:space="preserve">1.    Eigen middelen/eigen vermogen: de aanvrager heeft voldoende financiële middelen om het project te financieren. </t>
  </si>
  <si>
    <t xml:space="preserve">                   Dit laat u zien door bijvoorbeeld een financieringsbesluit en de jaarrekening.</t>
  </si>
  <si>
    <t>2.    Lening en/of investering: de aanvrager heeft definitieve toezeggingen van lening en/of investering waarmee het project kan worden gefinancierd.</t>
  </si>
  <si>
    <t xml:space="preserve">                   Dit laat u zien door een bankverklaring of een verklaring van iemand die u geld leent of samen met u investeert in het project.</t>
  </si>
  <si>
    <t>3.    Subsidieverstrekkingen van andere bestuursorganen zoals gemeenten, provincies of de Europese commissie: een cumulatie of samenloop van subsidies (stapeling)</t>
  </si>
  <si>
    <t xml:space="preserve">                   is meestal maar beperkt mogelijk. U laat dit zien met de beslissing op de betreffende subsidieaanvraag (subsidiebeschikking).</t>
  </si>
  <si>
    <t xml:space="preserve">                   Heeft u deze nog niet? Stuur dan een kopie van het aanvraagformulier. </t>
  </si>
  <si>
    <t xml:space="preserve">4.    Financiering van niet-overheden: een (cash) bijdrage van een derde in de vorm van sponsoring staan wij onder bepaalde voorwaarden toe. </t>
  </si>
  <si>
    <r>
      <t>Wij wijzen een aan</t>
    </r>
    <r>
      <rPr>
        <sz val="9"/>
        <color rgb="FF000000"/>
        <rFont val="Verdana"/>
        <family val="2"/>
      </rPr>
      <t xml:space="preserve">vraag af als er onvoldoende vertrouwen is dat u het project kan financieren. De kans op mislukking van de uitvoering van  </t>
    </r>
  </si>
  <si>
    <t xml:space="preserve">het project of dat het project pas veel later van start gaat is dan te groot. </t>
  </si>
  <si>
    <t>Zie ook de Subsidiespelregels EZK.</t>
  </si>
  <si>
    <t>Op het tabblad ‘Financiering’ vult u de complete financiering van uw project in. Dit onderbouwt u in het projectplan en door de bijlagen die u aanlevert.</t>
  </si>
  <si>
    <t>Meer informatie</t>
  </si>
  <si>
    <t>Praktische informatie over de regeling vindt u op:</t>
  </si>
  <si>
    <t>RVO</t>
  </si>
  <si>
    <t>www.rvo.nl/wis</t>
  </si>
  <si>
    <t>Algemene Groepsvrijstellingsverordering:</t>
  </si>
  <si>
    <t>CL2014R0651NL0060010.0001.3bi_cp 1..1 (europa.eu)</t>
  </si>
  <si>
    <t xml:space="preserve">Kaderwet </t>
  </si>
  <si>
    <t>wetten.nl - Regeling - Kaderwet nationale EZK- en LNV-subsidies - BWBR0007919</t>
  </si>
  <si>
    <t>Kaderbesluit</t>
  </si>
  <si>
    <t>wetten.nl - Regeling - Kaderbesluit nationale EZK- en LNV-subsidies - BWBR0024796 (overheid.nl)</t>
  </si>
  <si>
    <t>de Regeling</t>
  </si>
  <si>
    <t>eerste publicatie</t>
  </si>
  <si>
    <t>https://zoek.officielebekendmakingen.nl/stcrt-2023-11052.pdf</t>
  </si>
  <si>
    <t>tweede publicatie</t>
  </si>
  <si>
    <t>https://www.officielebekendmakingen.nl/stcrt-2024-17344.html</t>
  </si>
  <si>
    <t>Toelichting tabblad 'begroting'</t>
  </si>
  <si>
    <t>Warmtenetten Investerings Subsidie (WIS)</t>
  </si>
  <si>
    <t>Algemeen</t>
  </si>
  <si>
    <t>U vult het tabblad 'Begroting' in als u subsidie aanvraagt voor de Warmtenetten Investeringssubsidie (WIS).</t>
  </si>
  <si>
    <t>De subsidie gaat over de kosten van het warmtenet vanaf de bron (dus excl. de kosten van de bron zelf) tot en met de afleverset voor kleinverbruikers-aansluitingen.</t>
  </si>
  <si>
    <t>Voor blokaansluitingen gaat het over de kosten van het warmtenet tot de aansluitleiding naar blokverwarmingaansluiting.</t>
  </si>
  <si>
    <t xml:space="preserve">Hierbij geeft u de in aanmerking komende investeringskosten op en daarna wordt daar de exploitatiewinst gedurende de looptijd van de berekening (30 jaar) van afgetrokken. </t>
  </si>
  <si>
    <t xml:space="preserve">U krijgt dus alleen subsidie over de 'onrendabele top' van uw investering. </t>
  </si>
  <si>
    <t>Uw maximale subsidie is de onrendabele top. Dat is het deel van uw project dat zich niet terugverdient. Met andere woorden, het verschil tussen de investeringskosten</t>
  </si>
  <si>
    <t>die in aanmerking komen en de exploitatiewinst. Daarbij geldt dat:</t>
  </si>
  <si>
    <t>• de subsidiebijdrage maximaal 45% van de ‘subsidiabele’ investeringskosten is (de kosten die in aanmerking komen voor subsidie);</t>
  </si>
  <si>
    <t>• de subsidiebijdrage per kleinverbruikers-aansluiting maximaal € 6.000 voor een huurwoning en maximaal € 7.000 voor overige gebouwen is.</t>
  </si>
  <si>
    <t xml:space="preserve">De grens die als eerste wordt bereikt (onrendabele top, 45% van de investeringskosten die vallen onder de subsidie of € 6.000 / € 7.000 per aansluiting) is van toepassing. </t>
  </si>
  <si>
    <t>Wij beoordelen de gegevens die u opgaf en bepalen op basis daarvan hoeveel subsidie u ontvangt.</t>
  </si>
  <si>
    <t xml:space="preserve">Overige subsidies voor het warmtenet kunnen wij aftrekken van uw subsidie. </t>
  </si>
  <si>
    <t xml:space="preserve">Onderaan de verschillende tabellen op het tabblad 'Begroting' worden de ingevoerde gegevens vergeleken met de standaardwaarden die zijn opgenomen in de </t>
  </si>
  <si>
    <t xml:space="preserve">regelingstekst. Als deze afwijken, verschijnt een opmerking in het tabblad 'Begroting' bij de betreffende tabel. Het gaat om afwijkingen van gemiddelde kosten. </t>
  </si>
  <si>
    <t xml:space="preserve">U moet dan de waarden die afwijken van de standaardwaarde onderbouwen in het projectplan. De standaardwaarden die in het tabblad begroting worden gebruikt </t>
  </si>
  <si>
    <t>zijn hieronder weergegeven:</t>
  </si>
  <si>
    <t>Primaire warmtenet</t>
  </si>
  <si>
    <t>per km</t>
  </si>
  <si>
    <t>Secundaire warmtenet</t>
  </si>
  <si>
    <t>Overdrachtstation</t>
  </si>
  <si>
    <t>per stuk</t>
  </si>
  <si>
    <t>Grondgebonden aansluiting</t>
  </si>
  <si>
    <t>per aansluiting</t>
  </si>
  <si>
    <t>Aansluiting in de gestapelde bouw</t>
  </si>
  <si>
    <t>per aansluiting </t>
  </si>
  <si>
    <t>Investering afleverset</t>
  </si>
  <si>
    <r>
      <t xml:space="preserve">Vul bij </t>
    </r>
    <r>
      <rPr>
        <b/>
        <sz val="9"/>
        <rFont val="Verdana"/>
        <family val="2"/>
      </rPr>
      <t>alle</t>
    </r>
    <r>
      <rPr>
        <sz val="9"/>
        <rFont val="Verdana"/>
        <family val="2"/>
      </rPr>
      <t xml:space="preserve"> posten in de begroting het nummer van de mijlpaal in waarvoor u de kosten maakt. Deze informatie wordt bijvoorbeeld gebruikt</t>
    </r>
  </si>
  <si>
    <t xml:space="preserve">voor het bepalen van de onrendabele top. De start- en einddatum van de mijlpaal geeft u op in het tabblad mijlpalenbegroting. </t>
  </si>
  <si>
    <t>Alle kosten onderbouwt u per kostencategorie, met kostenramingen en/of offertes. Deze onderbouwing moet aansluiten op de bedragen in kolom F van de begroting.</t>
  </si>
  <si>
    <t xml:space="preserve">Een toelichting neemt u op in uw projectplan. </t>
  </si>
  <si>
    <t xml:space="preserve">Loonkosten </t>
  </si>
  <si>
    <t>Onder loonkosten neemt u de kosten op van medewerkers die in dienst zijn van de onderneming die investeert in het warmtenet. Huurt u iemand in dan neemt u die kosten</t>
  </si>
  <si>
    <t>niet hier op, maar onder 'aan derden verschuldigde kosten'.</t>
  </si>
  <si>
    <r>
      <t xml:space="preserve">Voor loonkosten rekenen we met een </t>
    </r>
    <r>
      <rPr>
        <b/>
        <sz val="9"/>
        <rFont val="Verdana"/>
        <family val="2"/>
      </rPr>
      <t xml:space="preserve">vast uurtarief van € 65 per uur. </t>
    </r>
  </si>
  <si>
    <t>Loonkosten die u niet activeert en rechtstreeks in de winst- en verliesrekening verantwoord vallen</t>
  </si>
  <si>
    <t xml:space="preserve">niet onder de subsidie, omdat het geen investeringskosten zijn. </t>
  </si>
  <si>
    <t xml:space="preserve">Voor meer informatie: </t>
  </si>
  <si>
    <t>Subsidiespelregels ministerie van Economische Zaken en Klimaat | RVO.nl</t>
  </si>
  <si>
    <t>Investering in primaire netten</t>
  </si>
  <si>
    <t xml:space="preserve">Het primaire net is het stelsel van leidingen tussen de bron en het secundaire net, óf in geval van een warmtetransportleiding tussen de warmtretransportleiding </t>
  </si>
  <si>
    <t xml:space="preserve">en het secundaire net. Bij de investeringen in deze categorie neemt u alle kosten voor de realisatie van dit netdeel mee in deze kostencomponent. </t>
  </si>
  <si>
    <t>Investeringen in overdrachtstations</t>
  </si>
  <si>
    <t xml:space="preserve">Een overdrachtstation is een installatie met of zonder warmtewisselaar die warmte overdraagt van het ene netdeel naar het volgende. Meestal is dit een </t>
  </si>
  <si>
    <t xml:space="preserve">overdrachtstation tussen primair en secundair net. </t>
  </si>
  <si>
    <t>Als er in een overdrachtstation ook installaties zijn voor piek-backup of voor temperatuurverhoging (centrale warmtepomp) dan krijg u voor deze installaties geen subsidie.</t>
  </si>
  <si>
    <t>Als u een deel van het gebouw, de grond of andere voorzieningen gebruikt voor deze installaties dan moet hier een verrekening op plaatsvinden. Dit geeft u op</t>
  </si>
  <si>
    <t>in het tabblad 'overdrachtstations'. Kosten voor grond voor het overdrachtstation neemt u ook mee in deze kostencomponent.</t>
  </si>
  <si>
    <t>Investeringen in secundaire netten</t>
  </si>
  <si>
    <t>Het stelsel van leidingen dat het transport van warmte verzorgt vanaf de overdrachtstations tot de ‘aansluiting’.</t>
  </si>
  <si>
    <t>Investeringen in aansluitingen</t>
  </si>
  <si>
    <t>U vult hier alleen de investeringen in de kleinverbruikersaansluitingen voor de bestaande bouw in. Het gaat hier om een combinatie van:</t>
  </si>
  <si>
    <t>• Aansluitleidingen: de leidingen vanaf het secundaire net in de straat tot aan de afleverset in het gebouw;</t>
  </si>
  <si>
    <t>• Individuele afleverset.</t>
  </si>
  <si>
    <t>Warmtevraag</t>
  </si>
  <si>
    <t xml:space="preserve">De warmtevraag van de gebouwen die u aansluit bepalen ook de opbrengsten van het project. U onderbouwt de warmtevraag in het projectplan, en geeft daarbij </t>
  </si>
  <si>
    <t>aan hoe u dit heeft onderzocht.</t>
  </si>
  <si>
    <t>Aan derden verschuldigde kosten</t>
  </si>
  <si>
    <t xml:space="preserve">Onder kosten derden vallen de directe projectkosten, waarvoor u facturen van anderen ontvangt en in uw administratie bewaart. </t>
  </si>
  <si>
    <t xml:space="preserve">Het kan bijvoorbeeld gaan om kosten voor uitbesteding van een deel van het project, om kosten van het inhuren van personeel of om kosten van materialen en diensten </t>
  </si>
  <si>
    <t>die zijn geleverd voor het project.</t>
  </si>
  <si>
    <t>Het gaat hier om kosten buiten de investeringen in het fysieke warmtenet. U neemt deze op in de hierboven genoemde kostencomponenten.</t>
  </si>
  <si>
    <t>Kosten die u niet activeert en rechtstreeks in de winst- en verliesrekening verantwoord vallen</t>
  </si>
  <si>
    <t>Toelichting: opvoeren van kosten voor gronden en gebouwen</t>
  </si>
  <si>
    <t xml:space="preserve">Terreinen of gebouwen waarvan de verwerving (of anderszins in gebruik verkrijging) noodzakelijk is voor de realisatie van het project voert u op bij de verschillende </t>
  </si>
  <si>
    <t>kostencategorieën, bijvoorbeeld bij een investering in een overdrachtstation. Maak dit met aparte regels in de begroting van de kostencomponenten zichtbaar.</t>
  </si>
  <si>
    <t>Met 'anderszins in gebruik verkregen' bedoelen wij bijvoorbeeld huur, erfpacht, recht van opstal of lease van gronden of gebouwen.</t>
  </si>
  <si>
    <t>Deze kosten neemt u op in de begroting onder 'aan derden verschuldigde kosten'.</t>
  </si>
  <si>
    <t>Let op: bij huur of lease krijgt u alleen subsidie voor het bedrag tijdens de projectduur. U moet wel duidelijk laten zien dat het niet om een tijdelijke locatie gaat,</t>
  </si>
  <si>
    <t>omdat investeringssteun bedoeld is voor investeringen die ook na het project blijven bestaan.</t>
  </si>
  <si>
    <t>Onrendabele top</t>
  </si>
  <si>
    <t xml:space="preserve">De onrendabele top wordt berekend op basis van de investeringen in de begroting, de fases in de mijlpalen en de waarden die u opgeeft in de tabbladen 'ORT </t>
  </si>
  <si>
    <t>uitgangspunten'. De onrendabele top wordt, na invoer van alle gegevens, automatisch opgenomen in de begroting.</t>
  </si>
  <si>
    <t>Hiermee bepalen wij het bedrag van de subsidie bij de beoordeling. Dit doen we na de aftrek van andere subsidies en als we de maxima uit de regeling hebben toegepast.</t>
  </si>
  <si>
    <t>Verstrekte of ontvangen steun/subsidie</t>
  </si>
  <si>
    <t xml:space="preserve">Als een provincie, gemeente of andere overheid subsidie verleent aan het project voor dezelfde kosten, noemen we dat samenloop (cumulatie) van subsidies. </t>
  </si>
  <si>
    <t xml:space="preserve">Het beoordelen van deze subsidie vraagt maatwerk per project. Geef bij uw subsidieaanvraag aan welke andere subsidies u ontvangt of verwacht te ontvangen. </t>
  </si>
  <si>
    <t>Geef dit aan in het tabblad ‘Begroting’. We noemen het samenloop (of ‘cumulatie’ of ‘stapeling van subsidies’) als u vanuit 2</t>
  </si>
  <si>
    <r>
      <t xml:space="preserve">verschillende regelingen of andere overheidsfondsen bijdragen ontvangt voor </t>
    </r>
    <r>
      <rPr>
        <u/>
        <sz val="9"/>
        <rFont val="Verdana"/>
        <family val="2"/>
      </rPr>
      <t>dezelfde investeringskosten</t>
    </r>
    <r>
      <rPr>
        <sz val="9"/>
        <rFont val="Verdana"/>
        <family val="2"/>
      </rPr>
      <t xml:space="preserve">. </t>
    </r>
  </si>
  <si>
    <t>Er kunnen verschillende situaties zijn. Ontvangt u een garantie of lening van een overheid? Ook dit kan cumulatie zijn. Verstrek deze gegevens aan RVO.</t>
  </si>
  <si>
    <t xml:space="preserve">U kunt de Energie-investeringsaftrek (EIA) combineren met de WIS. De EIA is een belastingvoordeel en geen subsidie. </t>
  </si>
  <si>
    <t xml:space="preserve">De EIA kan wel effect hebben bij de vaststelling van de definitieve WIS na afloop van het project. Het belastingvoordeel zorgt namelijk voor een lagere netto investering. </t>
  </si>
  <si>
    <t xml:space="preserve">De EIA wordt (bijna) altijd later aangevraagd dan de WIS. Daarom houden we bij verlening van de WIS geen rekening met een eventuele EIA-aanvraag. </t>
  </si>
  <si>
    <t xml:space="preserve">Bij de EIA-aanvraag brengen we alleen definitief vastgestelde subsidies in mindering op het investeringsbedrag. </t>
  </si>
  <si>
    <t xml:space="preserve">Omdat het EIA-voordeel wel de investeringskosten van een investeringsproject verlaagt, brengt u het ontvangen EIA-voordeel bij de vaststelling van de WIS in mindering </t>
  </si>
  <si>
    <t xml:space="preserve">op de kosten die onder subsidie vallen. Het gaat over het EIA-voordeel dat u tot en met de einddatum van het project krijgt. </t>
  </si>
  <si>
    <t xml:space="preserve">De SDE++ subsidie kan samengaan met een bijdrage uit de WIS. Het aanvragen van SDE++ subsidie heeft geen gevolgen voor de hoogte van de WIS. </t>
  </si>
  <si>
    <t xml:space="preserve">De WIS kan in sommige gevallen wel gevolgen hebben voor de SDE++ subsidie. Een jaar na ingebruikname van de installatie wordt in het kader van de SDE++ beschikking </t>
  </si>
  <si>
    <t xml:space="preserve">een zogenaamde MSK-toets uitgevoerd. Daarmee wordt nagegaan hoeveel steunruimte er is, dat wil zeggen: hoeveel steun het project op basis van Europese regelgeving </t>
  </si>
  <si>
    <t xml:space="preserve">maximaal mag ontvangen. Wordt er teveel steun verleend, dan zal de SDE++ dat verrekenen door dit in mindering te brengen op het bedrag dat </t>
  </si>
  <si>
    <t xml:space="preserve">de subsidieaanvrager op grond van de SDE++ heeft aangevraagd of toegekend heeft gekregen. </t>
  </si>
  <si>
    <t>Opbrengsten</t>
  </si>
  <si>
    <t>Bijdrage aansluitkosten</t>
  </si>
  <si>
    <t xml:space="preserve">Op het tabblad ORT Uitgangspunten geeft u aan wat de verwachte eenmalige bijdrage is die de gebouweigenaar betaalt. Dit bedrag wordt overgenomen op het tabblad </t>
  </si>
  <si>
    <t xml:space="preserve">'begroting'. Het model houdt rekening met de hoogte van deze bijdrage bij het berekenen van de onrendabele top. Als de gemiddelde 'bijdrage aansluitkosten' tijdens het project </t>
  </si>
  <si>
    <t xml:space="preserve">wijzigen dan moet dit worden doorgegeven. We vragen dan een aangepaste berekening van de onrendabele top. Ook bij vaststelling wordt een onrendabele topberekening </t>
  </si>
  <si>
    <t>gevraagd met de actuele 'bijdrage aansluitkosten'.</t>
  </si>
  <si>
    <t>Vastrecht</t>
  </si>
  <si>
    <t xml:space="preserve">Dit zijn de jaarlijkse vaste kosten die u bij een verbruiker in rekening gaat brengen. Standaard wordt hier uitgegaan van het maximale vastrecht zoals vastgesteld in het </t>
  </si>
  <si>
    <t xml:space="preserve">tarievenbesluit 2024 van de ACM. </t>
  </si>
  <si>
    <t xml:space="preserve">Het is mogelijk om in uw project een korting op het vastrecht te geven aan verbruikers. Dit doet u in het tabblad 'ORT Uitgangspunten'. Het minimumvastrecht is € 240. </t>
  </si>
  <si>
    <t xml:space="preserve">Als u korting geeft op het vastrecht, moet u dat onderbouwen in het projectplan en voegt u onderbouwende documenten als bijlage toe aan uw aanvraag. </t>
  </si>
  <si>
    <t xml:space="preserve">Als u een korting geeft op het vastrecht, en het vastrecht wijzigt tijdens het project, dan moet dit worden doorgegeven. We vragen dan een nieuwe berekening van de </t>
  </si>
  <si>
    <t>onrendabele top met het aangepaste vastrecht. Ook bij vaststelling wordt een onrendabele topberekening gevraagd met het actuele vastrecht.</t>
  </si>
  <si>
    <t>Projectinformatie</t>
  </si>
  <si>
    <t>Projectnummer:</t>
  </si>
  <si>
    <t>[Dit veld vult RVO in]</t>
  </si>
  <si>
    <t>Thema:</t>
  </si>
  <si>
    <t>Titel van het project:</t>
  </si>
  <si>
    <t xml:space="preserve">De startdatum is de datum waarop u start met uw investeringsproject. U mag geen kosten maken voor de startdatum. </t>
  </si>
  <si>
    <t xml:space="preserve">Ook mag de startdatum niet liggen voor de datum van indiening. </t>
  </si>
  <si>
    <t>startdatum project:</t>
  </si>
  <si>
    <t>einddatum project:</t>
  </si>
  <si>
    <t>Deze datums moeten hetzelfde zijn als op uw aanvraagformulier.</t>
  </si>
  <si>
    <t>Looptijd van het project:</t>
  </si>
  <si>
    <t>jaar</t>
  </si>
  <si>
    <t>Organisatienaam</t>
  </si>
  <si>
    <t xml:space="preserve">Type organisatie </t>
  </si>
  <si>
    <t>Aanvrager</t>
  </si>
  <si>
    <t>Model Begroting Warmtenetten Investerings Subsidie (WIS)</t>
  </si>
  <si>
    <t>Gegevens aanvrager:</t>
  </si>
  <si>
    <t>Naam aanvrager</t>
  </si>
  <si>
    <t>Titel project</t>
  </si>
  <si>
    <t>btw</t>
  </si>
  <si>
    <t>&lt;maak een keuze&gt;</t>
  </si>
  <si>
    <t>Gebruikte loonsystematiek</t>
  </si>
  <si>
    <t>Type project</t>
  </si>
  <si>
    <t>Onderdeel A: Totale investeringskosten</t>
  </si>
  <si>
    <t>Loonkosten</t>
  </si>
  <si>
    <t xml:space="preserve">U voert alleen loonkosten op die u activeert op de balans. </t>
  </si>
  <si>
    <t>Mijlpaal</t>
  </si>
  <si>
    <t>Functie</t>
  </si>
  <si>
    <t>Toelichting</t>
  </si>
  <si>
    <t xml:space="preserve">Uurtarief € </t>
  </si>
  <si>
    <t>Aantal uur in gebruik</t>
  </si>
  <si>
    <t>Subsidiabele kosten €</t>
  </si>
  <si>
    <t>Totaal loonkosten</t>
  </si>
  <si>
    <t>Zorg dat de bedragen in kolom F hetzelfde zijn als de kostenraming/kostencalculaties en/of offertes bij uw aanvraag</t>
  </si>
  <si>
    <t xml:space="preserve">Zorg ervoor dat de codering in de kolom 'segment VO' hetzelfde is als de codering op uw ontwerp. </t>
  </si>
  <si>
    <t>Subsidiabel</t>
  </si>
  <si>
    <t>Niet-subsidiabel</t>
  </si>
  <si>
    <t>Verdeling subsidiabel vs. niet-subsidiabel</t>
  </si>
  <si>
    <t>Segment in VO</t>
  </si>
  <si>
    <t>Lengte (in kilometers)</t>
  </si>
  <si>
    <t>Beschrijving investering primair net</t>
  </si>
  <si>
    <t>Kosten investering</t>
  </si>
  <si>
    <t>Vermogen totaal (kW)</t>
  </si>
  <si>
    <t>Aantal aansluitingen kleinverbruik bestaande bouw</t>
  </si>
  <si>
    <t xml:space="preserve">Vermogen (kW) t.b.v. kleinverbruik bestaande bouw </t>
  </si>
  <si>
    <t>Aantal aansluitingen blokverwarming bestaande bouw</t>
  </si>
  <si>
    <t>Vermogen (kW) t.b.v. blokverwarming bestaande bouw</t>
  </si>
  <si>
    <t>Vermogen (kW) t.b.v. grootverbruik bestaande bouw</t>
  </si>
  <si>
    <t>Vermogen (kW)
t.b.v. nieuwbouw</t>
  </si>
  <si>
    <t>Vermogen (kW)
t.b.v. subsidiabele investering</t>
  </si>
  <si>
    <t>Vermogen (kW)
t.b.v. niet-subsidiabele investering</t>
  </si>
  <si>
    <t>Niet-subsidiabele investering</t>
  </si>
  <si>
    <t>Subsidiabele investering €</t>
  </si>
  <si>
    <t>Totaal investeringen primaire netten</t>
  </si>
  <si>
    <t>Verduidelijk de kosten in tabblad 'overdrachtstations' als er in een gebouw installaties zitten die onder de subsidie vallen en waarvoor u geen subsidie krijgt (bijv. warmte-opslag, warmtepomp).</t>
  </si>
  <si>
    <t>Aantal</t>
  </si>
  <si>
    <t>Beschrijving investering overdrachtstation</t>
  </si>
  <si>
    <t>Investering in subsidiabele activa (zie ook tabblad 'overdrachtstations')</t>
  </si>
  <si>
    <t>Vermogen t.b.v. blokverwarming bestaande bouw</t>
  </si>
  <si>
    <t>Vermogen 
t.b.v. subsidiabele investering</t>
  </si>
  <si>
    <t>Vermogen 
t.b.v. niet-subsidiabele investering</t>
  </si>
  <si>
    <t>Totaal investeringen overdrachtstations</t>
  </si>
  <si>
    <t>Beschrijving investering secundair net</t>
  </si>
  <si>
    <t>Totaal investeringen secundaire netten</t>
  </si>
  <si>
    <t>Segment VO</t>
  </si>
  <si>
    <t>Aan te sluiten gebouw</t>
  </si>
  <si>
    <t>Kosten per aansluiting kleinverbruik</t>
  </si>
  <si>
    <t>Kosten afleverset per stuk</t>
  </si>
  <si>
    <t>Warmtevraag per aansluiting</t>
  </si>
  <si>
    <t>Totaal</t>
  </si>
  <si>
    <t>gewogen grondgebonden incl. overige</t>
  </si>
  <si>
    <t>gewogen gestapeld</t>
  </si>
  <si>
    <t>gewogen gemiddelde kosten afleversets</t>
  </si>
  <si>
    <t>Totaal investeringen kleinverbruikersaansluitingen</t>
  </si>
  <si>
    <t xml:space="preserve">Zorg dat de bedragen in kolom Q hetzelfde zijn als de kostenraming/kostencalculaties en/of offertes bij uw aanvraag, vergeet niet de omschrijving de handelsnaam op te nemen. </t>
  </si>
  <si>
    <t>Handelsnaam derde</t>
  </si>
  <si>
    <t>Omschrijving kosten</t>
  </si>
  <si>
    <t>Totaal aan derden verschuldigde kosten</t>
  </si>
  <si>
    <t>Totale subsidiabele investeringskosten</t>
  </si>
  <si>
    <t xml:space="preserve">Onderdeel B: Onrendabele top </t>
  </si>
  <si>
    <t xml:space="preserve">De onrendabele top wordt automatisch berekend als het tabblad begroting, mijlpalenbegroting en ORT uitgangspunten volledig zijn ingevuld. </t>
  </si>
  <si>
    <t>Onderdeel C: Verstrekte of ontvangen steun / subsidie</t>
  </si>
  <si>
    <t>Beschrijving van subsidie die u eerder ontving</t>
  </si>
  <si>
    <t>Totaal verstrekte of ontvangen subsidies</t>
  </si>
  <si>
    <t xml:space="preserve">Onderdeel D: Berekening subsidie </t>
  </si>
  <si>
    <t>A. De totale subsidiabele investeringen</t>
  </si>
  <si>
    <t>B. Onrendabele top</t>
  </si>
  <si>
    <t xml:space="preserve">Deze onrendabele top is gebaseerd op een gemiddelde aansluitbijdrage van </t>
  </si>
  <si>
    <t>per aansluiting.</t>
  </si>
  <si>
    <t>Er is in de berekening</t>
  </si>
  <si>
    <t xml:space="preserve"> uitgegaan van korting op vastrecht. Het opgegeven vastrecht is</t>
  </si>
  <si>
    <t xml:space="preserve">per jaar. </t>
  </si>
  <si>
    <t>C. Verstrekte of ontvangen steun/ subsidie</t>
  </si>
  <si>
    <t>Maximale subsidie op basis van subsidiabele onrendabele top (B-C)</t>
  </si>
  <si>
    <t>Maximale subsidie op basis van aantal aansluitingen</t>
  </si>
  <si>
    <t>aantal aansluitingen:</t>
  </si>
  <si>
    <t>particulier/overig</t>
  </si>
  <si>
    <t>huur</t>
  </si>
  <si>
    <t>D. Berekende maximale steun</t>
  </si>
  <si>
    <t>Gevraagde WIS</t>
  </si>
  <si>
    <t>Onderdeel E: Financiering van het project</t>
  </si>
  <si>
    <t>A. Investeringskosten</t>
  </si>
  <si>
    <t>C. Verstrekte of ontvangen steun/subsidie</t>
  </si>
  <si>
    <t xml:space="preserve">D. Maximale subsidie WIS </t>
  </si>
  <si>
    <t>Verwachte aansluitbijdragen</t>
  </si>
  <si>
    <t>Nog te financieren</t>
  </si>
  <si>
    <t>Geef op het tabblad 'Fnanciering' aan hoe u dit deel financieert</t>
  </si>
  <si>
    <t>Ruimte voor toelichting onderdeel A t/m E</t>
  </si>
  <si>
    <t>Specificatie overdrachtstations Warmtenetten Investerings Subsidie (WIS)</t>
  </si>
  <si>
    <t xml:space="preserve">Toelichting </t>
  </si>
  <si>
    <t>Soms zitten er in één nieuw gebouw installaties die vallen onder de subsidie en installaties die niet onder de subsidie vallen. Dit geeft u aan in onderstaande tabel. Bij kosten die niet vallen onder de subsidie moet u denken</t>
  </si>
  <si>
    <t xml:space="preserve">aan warmte-opslag, een warmtepomp of een piekketel. Als dit niet het geval is en er is een 'traditioneel' overdrachtstation, dan is verdere uitleg in dit tabblad niet nodig. </t>
  </si>
  <si>
    <t>Op het moment dat een uitsplitsing nodig is zorgt u ervoor dat het gespecificeerde bedrag in kolom M hetzelfde is als het bedrag dat u invoerde in het tabblad 'begroting'.</t>
  </si>
  <si>
    <t>Beschrijving investering onderstation</t>
  </si>
  <si>
    <t>Totale investering in activa die subsidiabel zijn in €</t>
  </si>
  <si>
    <t>Installaties die niet subsidiabel zijn in hetzelfde gebouw?</t>
  </si>
  <si>
    <r>
      <rPr>
        <sz val="9"/>
        <color rgb="FFC00000"/>
        <rFont val="Verdana"/>
        <family val="2"/>
      </rPr>
      <t xml:space="preserve">Opmerking
</t>
    </r>
    <r>
      <rPr>
        <i/>
        <sz val="9"/>
        <color rgb="FFC00000"/>
        <rFont val="Verdana"/>
        <family val="2"/>
      </rPr>
      <t>Als onderstaande cel rood is: zorg ervoor dat het bedrag in kolom M hetzelfde is als het bedrag in kolom C.</t>
    </r>
  </si>
  <si>
    <t>Investering in gedeelde voorzieningen - gebouw en grond in €</t>
  </si>
  <si>
    <t>Investering in gedeelde voorzieningen - overig in €</t>
  </si>
  <si>
    <t>Investering in gedeelde voorzieningen - totaal</t>
  </si>
  <si>
    <t>Investering in subsidiabele installaties</t>
  </si>
  <si>
    <t>Investering in niet-subsidiabele installaties</t>
  </si>
  <si>
    <t>Subsidiabele kosten van gedeelde voorzieningen</t>
  </si>
  <si>
    <t>Niet-subsidiabele kosten van  gedeelde voorzieningen</t>
  </si>
  <si>
    <t>Nee</t>
  </si>
  <si>
    <t>Ruimte voor toelichting</t>
  </si>
  <si>
    <t>Mijlpalenbegroting</t>
  </si>
  <si>
    <t>Titel:</t>
  </si>
  <si>
    <t xml:space="preserve">De bedragen in deze mijlpalenbegroting worden vanzelf ingevuld als u op het tabblad begroting per kostenpost aangeeft bij welke mijlpaal deze hoort. </t>
  </si>
  <si>
    <t>Vul per mijlpaal de startdatum, einddatum, de naam en een omschrijving van de mijlpaal in.</t>
  </si>
  <si>
    <t>De mijlpalenbegroting bevat in ieder geval drie verplichte mijlpalen. Mijlpaal 1 is het investeringsbesluit, mijlpaal 2 is het financieringsbesluit en mijlpaal 3 is opdrachtverstrekking. Als het investerings- en financieringsbesluit op hetzelfde</t>
  </si>
  <si>
    <t>moment worden genomen, dan mogen mijlpaal 1 en 2 worden samengevoegd.</t>
  </si>
  <si>
    <t xml:space="preserve">De naam van een mijlpaal geeft het resultaat dat bereikt wordt, bijvoorbeeld dat een investeringsbesluit is genomen, dat een deel van het warmtenet is gerealiseerd of dat een aantal aansluitingen zijn gemaakt. </t>
  </si>
  <si>
    <t xml:space="preserve">De startdatum geeft aan wanneer u begint met het maken van kosten om dit resultaat te halen. De einddatum geeft aan wanneer u verwacht het resultaat te bereiken. </t>
  </si>
  <si>
    <t>In het veld voor extra toelichting per mijlpaal geeft u informatie over het te behalen resultaat.</t>
  </si>
  <si>
    <t xml:space="preserve">In het projectplan vult u in welke activiteiten u uitvoert per mijlpaal en wanneer de mijlpaal bereikt is. Dit moet overeenkomen met dit overzicht. </t>
  </si>
  <si>
    <t xml:space="preserve">Het aantal mijlpalen staat niet vast en de start- en einddatum hoeven niet gelijk te lopen met de kwartalen van een jaar. </t>
  </si>
  <si>
    <t>Belangrijk</t>
  </si>
  <si>
    <t xml:space="preserve">Wij controleren de resultaten die u beschrijft in uw mijlpalenbegroting. Wij betalen de voorschotten van de subsidie uit op basis hiervan. </t>
  </si>
  <si>
    <t xml:space="preserve">Als u de resultaten niet haalt kan dit gevolgen hebben voor uw voorschotten. Wij kunnen het uitbetalen van uw voorschotten stoppen. </t>
  </si>
  <si>
    <t>Zorg er dus voor dat uw planning realistisch is en dat wij uw mijlpalen kunnen meten.</t>
  </si>
  <si>
    <t>Dit is ook belangrijk voor de fase na de subsidie toekenning. Als de uitvoering hiervan afwijkt moet u hiervoor nieuwe planningen en begrotingen aanleveren.</t>
  </si>
  <si>
    <t>Startdatum mijlpaal</t>
  </si>
  <si>
    <t>Einddatum mijlpaal</t>
  </si>
  <si>
    <t>Inschatting subsidievoorschot</t>
  </si>
  <si>
    <t>Samenvatting kosten en aansluitingen per jaar</t>
  </si>
  <si>
    <t>Subsidiabele investeringskosten</t>
  </si>
  <si>
    <t>Aantal aansluitingen</t>
  </si>
  <si>
    <t>Voor details zie tabblad ORT aansluitingen.</t>
  </si>
  <si>
    <t>Resultaat mijlpalen</t>
  </si>
  <si>
    <t>Beschrijf hieronder kort per mijlpaal welk resultaat u wilt behalen:</t>
  </si>
  <si>
    <t>Mijlpaal 1</t>
  </si>
  <si>
    <t>Investeringsbesluit</t>
  </si>
  <si>
    <t xml:space="preserve">Geef hier een beschrijving van het resultaat </t>
  </si>
  <si>
    <t>Mijlpaal 2</t>
  </si>
  <si>
    <t>Financieringsbesluit</t>
  </si>
  <si>
    <t>Geef hier een beschrijving van het resultaat</t>
  </si>
  <si>
    <t>Mijlpaal 3</t>
  </si>
  <si>
    <t>Opdrachtverstrekking</t>
  </si>
  <si>
    <t>Mijlpaal 4</t>
  </si>
  <si>
    <t>Naam mijlpaal: bijvoorbeeld realisatie fase I van het warmtenet cf. het ontwerp of realisatie aantal aansluitingen</t>
  </si>
  <si>
    <t>Mijlpaal 5</t>
  </si>
  <si>
    <t>Naam mijlpaal: …...</t>
  </si>
  <si>
    <t>etc.</t>
  </si>
  <si>
    <t>Mijlpaal 6</t>
  </si>
  <si>
    <t>Naam mijlpaal: …..</t>
  </si>
  <si>
    <t>Mijlpaal 7</t>
  </si>
  <si>
    <t>Mijlpaal 8</t>
  </si>
  <si>
    <t>Mijlpaal 9</t>
  </si>
  <si>
    <t>Mijlpaal 10</t>
  </si>
  <si>
    <t>Mijlpaal 11</t>
  </si>
  <si>
    <t>Mijlpaal 12</t>
  </si>
  <si>
    <t>Mijlpaal 13</t>
  </si>
  <si>
    <t>Mijlpaal 14</t>
  </si>
  <si>
    <t>Mijlpaal 15</t>
  </si>
  <si>
    <t>Vast bedrag</t>
  </si>
  <si>
    <t>Volledige verrekening</t>
  </si>
  <si>
    <t>MODEL EXPLOITATIEBEREKENING - UITGANGSPUNTEN ORT</t>
  </si>
  <si>
    <t>Bedrag per kW</t>
  </si>
  <si>
    <t>Verrekening binnen project</t>
  </si>
  <si>
    <t>Geen</t>
  </si>
  <si>
    <t>In dit tabblad vult u alleen de gele velden in. De overige velden zijn ter informatie.</t>
  </si>
  <si>
    <t>Als u een geel veld selecteert ziet u (indien van toepassing) meer uitleg over wat u invult.</t>
  </si>
  <si>
    <t xml:space="preserve">Een aantal van deze velden zijn de standaardwaarden zoals deze in de regeling staat. Deze velden zijn grijs. </t>
  </si>
  <si>
    <t xml:space="preserve">Onderbouw een eventuele korting op het vastrecht en de gekozen hoogte van de marge in het projectplan. </t>
  </si>
  <si>
    <t xml:space="preserve">Het onderwerp 'inkoop warmte' is alleen van toepassing bij Zeer Lage Temperatuur (ZLT)-netten. Bij Hoge Temperatuur- (HT), </t>
  </si>
  <si>
    <t>Midden Temperatuur- (MT) of Lage Temperatuur- (LT) netten wordt hier een waarde van € 0 ingevoerd. Bij deze netten</t>
  </si>
  <si>
    <t xml:space="preserve">zit er in de berekening een marge tussen inkoop en verkoop van warmte. </t>
  </si>
  <si>
    <t>Aflevertemperatuur</t>
  </si>
  <si>
    <t>Waarde</t>
  </si>
  <si>
    <t>Eenheid</t>
  </si>
  <si>
    <t>Opmerkingen</t>
  </si>
  <si>
    <t>Temperatuur aflevering (MT/HT, LT, ZLT)</t>
  </si>
  <si>
    <t>HT / MT</t>
  </si>
  <si>
    <t>Keuze</t>
  </si>
  <si>
    <t>Belastingen</t>
  </si>
  <si>
    <t>Vennootschapsbelasting (laag tarief)</t>
  </si>
  <si>
    <t>factor</t>
  </si>
  <si>
    <t>Vennootschapsbelasting (hoog tarief)</t>
  </si>
  <si>
    <t>Winstgrens laag tarief</t>
  </si>
  <si>
    <t>Volledige belastingverrekening of verliesverrekening binnen project</t>
  </si>
  <si>
    <t>Autonome warmtevraag reductie</t>
  </si>
  <si>
    <r>
      <rPr>
        <sz val="9"/>
        <color rgb="FFFF0000"/>
        <rFont val="Verdana"/>
        <family val="2"/>
      </rPr>
      <t>%</t>
    </r>
    <r>
      <rPr>
        <sz val="9"/>
        <color rgb="FF000000"/>
        <rFont val="Verdana"/>
        <family val="2"/>
      </rPr>
      <t xml:space="preserve"> warmtevraagreductie</t>
    </r>
  </si>
  <si>
    <t>[%/jr]</t>
  </si>
  <si>
    <t>Discontovoet</t>
  </si>
  <si>
    <t>%</t>
  </si>
  <si>
    <t>Na belasting</t>
  </si>
  <si>
    <t>Tarieven en eenmalige bijdragen</t>
  </si>
  <si>
    <t>Inkomsten uit individueel kleinverbruik aansluitingen</t>
  </si>
  <si>
    <t>Aansluitbijdrage individuele kleinverbruikers</t>
  </si>
  <si>
    <t>[€/#]</t>
  </si>
  <si>
    <t>Vastrecht conform maximum ACM</t>
  </si>
  <si>
    <t>[€/jr]</t>
  </si>
  <si>
    <t>Meettarief</t>
  </si>
  <si>
    <t>Vergoeding afleverstation</t>
  </si>
  <si>
    <t>Warmtebronnen</t>
  </si>
  <si>
    <t>Marge inkomsten minus productie kleinverbruik</t>
  </si>
  <si>
    <t>[€/GJ]</t>
  </si>
  <si>
    <t>Investeringen in piek / backupinstallaties</t>
  </si>
  <si>
    <t>[€/kW]</t>
  </si>
  <si>
    <t>Kosteninvoer OPEX</t>
  </si>
  <si>
    <t>OPEX leidingen</t>
  </si>
  <si>
    <t>Onderhoudskosten warmtenetten - leidingen</t>
  </si>
  <si>
    <t>% van capex</t>
  </si>
  <si>
    <t>OPEX Overdrachtstations</t>
  </si>
  <si>
    <t>Onderhoudskosten overdrachtstations</t>
  </si>
  <si>
    <t>OPEX bij de aansluiting</t>
  </si>
  <si>
    <t>Onderhoudskosten aansluitingen, afleversets en meetapparatuur</t>
  </si>
  <si>
    <t>OPEX piek / backupinstallaties</t>
  </si>
  <si>
    <t>Onderhoudskosten piek / backupinstallaties</t>
  </si>
  <si>
    <t>OPEX Overig</t>
  </si>
  <si>
    <t>Administratieve lasten</t>
  </si>
  <si>
    <t>[€/jaar/#]</t>
  </si>
  <si>
    <t>Inkoop</t>
  </si>
  <si>
    <t>Inkoopprijzen</t>
  </si>
  <si>
    <t>MAX. DEFAULT WAARDE</t>
  </si>
  <si>
    <t>Variabele component ZLT-warmte</t>
  </si>
  <si>
    <t>Indexatie</t>
  </si>
  <si>
    <t>Indexatie OPEX</t>
  </si>
  <si>
    <t>Indexatie CAPEX</t>
  </si>
  <si>
    <t>Projectoverzicht</t>
  </si>
  <si>
    <t>De onderstaande tabel wordt automatisch gevuld uit de andere werkbladen.</t>
  </si>
  <si>
    <t>Naam</t>
  </si>
  <si>
    <t>Te ontvangen aansluit-bijdragen</t>
  </si>
  <si>
    <t>Lees voordat u onderstaande velden (geel gearceerde) invult eerst de toelichting.</t>
  </si>
  <si>
    <t>Onderbouwing</t>
  </si>
  <si>
    <t>Bedrag (€)</t>
  </si>
  <si>
    <t>Toelichting en verwijzing naar document.</t>
  </si>
  <si>
    <t>Toelichting 'Financiering'</t>
  </si>
  <si>
    <t xml:space="preserve">Let op! Het kan zijn dat dit bedrag in mindering wordt gebracht op de subsidie en deze niet volledig wordt meegerekend bij de financiering van het eigen aandeel, zie onderstaande toelichting. </t>
  </si>
  <si>
    <t xml:space="preserve">Eigen bijdrage financiering (op tabblad projectoverzicht).
U geeft in het projectplan aan hoe u de eigen bijdrage gaat financieren. Voor onderbouwing van de financiering stuurt u bewijsstukken op, zoals een recente jaarrekening of een investeringsovereenkomst. U financiert de eigen bijdrage met bijvoorbeeld:
1. Eigen middelen/ eigen vermogen: u heeft voldoende financiële middelen en/of inkomsten om het project te financieren. Aantoonbaar door onder andere een bankafschrift of jaarrekening;
2. Lening en/of investering: u heeft definitieve toezeggingen van lening en/of investering waarmee het project kan worden gefinancierd. Aantoonbaar door een bankverklaring of een verklaring van iemand die u geld leent of samen met u investeert in het project;      
3. Subsidieverstrekkingen van andere bestuursorganen zoals gemeenten, provincies of de Europese commissie: een cumulatie - samenloop subsidies (stapeling) is kan beperkt mogelijk zijn door cumulatie- of uitsluitingsbepaling. Aantoonbaar door een beslissing op betreffende subsidieaanvraag. Heeft u deze nog niet? Stuur dan een kopie van het aanvraagformulier. 
4. Financiering van niet-overheden: een (cash) bijdrage van een derde in de vorm van sponsoring is onder bepaalde voorwaarden toegestaan.
Wij wijzen een aanvraag af als er onvoldoende vertrouwen is dat u het project kan financieren. De kans op mislukking van de uitvoering van het project of dat het project pas veel later van start gaat is dan te groot.                
</t>
  </si>
  <si>
    <t>Reeds verstrekte/verwachte steun door bestuursorganen of Europese Commissie</t>
  </si>
  <si>
    <t xml:space="preserve">Krijgt u andere subsidie(s) voor hetzelfde investeringsproject of een deel daarvan? Geef dit dan aan in de begroting. U stuurt hiervan ook altijd de beschikking mee. </t>
  </si>
  <si>
    <t>Ontvangt u garanties vanuit een bestuursorgaan? Bijvoorbeeld een gemeente? Wij beoordelen of u deze kunt combineren met de WIS. Wij passen hier eventueel uw subsidie op aan.</t>
  </si>
  <si>
    <t xml:space="preserve">Bij een subsidie van 100% van de financieringskloof (de onrendabele top), ontvangt u al de de maximale steun. U kunt dan geen cofinanciering van een ander bestuursorgaan krijgen. </t>
  </si>
  <si>
    <t xml:space="preserve">Wanneer kunt u andere subsidies inzetten naast de WIS? </t>
  </si>
  <si>
    <t>Dit kan alleen als de uitkomst van de onrendabele topberekening hoger is dan:</t>
  </si>
  <si>
    <t>- 45% van de subsidiabele investeringskosten;</t>
  </si>
  <si>
    <t>- € 6.000 maal het aantal kleinverbruikersaansluitingen voor bestaande huurwoningen plus € 7.000 maal het aantal overige kleinverbruikers-aansluitingen voor bestaande gebouwen.</t>
  </si>
  <si>
    <t xml:space="preserve">Neem voordat u uw aanvraag doet gerust contact met ons op. Wij leggen u dan al uit wat dit mogelijk voor uw subsidieaanvraag betekent. </t>
  </si>
  <si>
    <t> </t>
  </si>
  <si>
    <t> </t>
  </si>
  <si>
    <t>Aansluitingen die na einddatum WIS-investeringsproject worden gerealiseerd</t>
  </si>
  <si>
    <t xml:space="preserve">Op het moment dat er aansluitingen worden gerealiseerd na de einddatum van het project dan moeten die hier worden opgegeven. Het gaat om aansluitingen waar tijdens het project een aansluitovereenkomst is gesloten. Het gaat specifiek om </t>
  </si>
  <si>
    <t xml:space="preserve">aansluitingen die rechtstreeks aan kunnen sluiten op het in het project gerealiseerde efficiënte warmtenet. Het gaat dus niet om aansluitingen die buiten het projectgebied liggen, bijvoorbeeld een naastliggende wijk. </t>
  </si>
  <si>
    <t>Deze aansluitingen tellen wel mee in de berekening van de hoogte van de onrendabele top, maar niet bij de subsidiabele kosten.</t>
  </si>
  <si>
    <t>In het overzicht worden de jaren vanaf de einddatum van het project weergegeven. De gemiddelde kosten van een aansluiting die in het project geldt, wordt ter informatie weergegeven.</t>
  </si>
  <si>
    <t xml:space="preserve">Als u geen aansluitingen na de einddatum van het project verwacht dan kunt u onderstaande veld leeg laten.  </t>
  </si>
  <si>
    <t>Jaartal</t>
  </si>
  <si>
    <t>Beschrijving</t>
  </si>
  <si>
    <t>Gemiddelde waarde in tabblad 'begroting'</t>
  </si>
  <si>
    <t>Aantal aansluitingen [#]</t>
  </si>
  <si>
    <t>Warmtelevering per aansluiting [GJ/aansluiting/jaar]</t>
  </si>
  <si>
    <t>Warmtelevering Totaal [GJ/jaar]</t>
  </si>
  <si>
    <t>Investeringskosten totaal</t>
  </si>
  <si>
    <t>MODEL EXPLOITATIEBEREKENING - UITKOMST BEREKENINGEN IN GRAFIEKEN</t>
  </si>
  <si>
    <t>MODEL EXPLOITATIEBEREKENING - FASERING AANSLUITINGEN</t>
  </si>
  <si>
    <t xml:space="preserve">Dit tabblad wordt automatisch ingevuld op basis van de aantallen aansluitingen die opgegeven zijn in de begroting, </t>
  </si>
  <si>
    <t>en de data in het tabblad 'mijlpalenbegroting'. Het tabblad is bedoeld ter info, om een overzicht te geven van de</t>
  </si>
  <si>
    <t xml:space="preserve">aantallen aansluitingen die per jaar gerealiseerd worden. Het gaat alleen om de aansluitingen tijdens de looptijd. </t>
  </si>
  <si>
    <t>TIMING</t>
  </si>
  <si>
    <t>Timing</t>
  </si>
  <si>
    <t>Startjaar</t>
  </si>
  <si>
    <t>[jaartal]</t>
  </si>
  <si>
    <t>Exploitatieduur</t>
  </si>
  <si>
    <t>[jaar]</t>
  </si>
  <si>
    <t>FASERING INDIVIDUEEL KLEINVERBRUIK</t>
  </si>
  <si>
    <t>VO segment</t>
  </si>
  <si>
    <t>Omschrijving</t>
  </si>
  <si>
    <t>grondgebonden</t>
  </si>
  <si>
    <t>gestapeld</t>
  </si>
  <si>
    <t>Overige</t>
  </si>
  <si>
    <t>[#]</t>
  </si>
  <si>
    <t>[GJ/woning/jr]</t>
  </si>
  <si>
    <t>Berekeningen aantallen: waarden vanaf kolom U</t>
  </si>
  <si>
    <t>Grondgebonden woningen (particulier + huur)</t>
  </si>
  <si>
    <t>Aantal aansluitingen grondgebonden woningen (huur plus particulier)</t>
  </si>
  <si>
    <t>Totaal grondgebonden:</t>
  </si>
  <si>
    <t>Aantal aansluitingen grondgebonden woningen (cumulatief)</t>
  </si>
  <si>
    <t>Warmteverbruik grondgebonden woningen</t>
  </si>
  <si>
    <t>[GJ]</t>
  </si>
  <si>
    <t>Gestapelde woningen (particulier + huur)</t>
  </si>
  <si>
    <t>Aantal aansluitingen gestapeld (vanaf kolom U)</t>
  </si>
  <si>
    <t>Totaal gestapeld</t>
  </si>
  <si>
    <t>Aantal aansluitingen gestapeld (cumulatief)</t>
  </si>
  <si>
    <t>Warmteverbruik gestapeld</t>
  </si>
  <si>
    <t>Overige kleinverbruikers</t>
  </si>
  <si>
    <t>Aantal aansluitingen overige kleinverbruikers</t>
  </si>
  <si>
    <t>Totaal overige</t>
  </si>
  <si>
    <t>Aantal aansluitingen overige kleinverbruikers (cumulatief)</t>
  </si>
  <si>
    <t>Warmteverbruik overige kleinverbruikers</t>
  </si>
  <si>
    <t>REKENMODEL BUSINESS CASE WARMTENETTEN - REKENOVERZICHT</t>
  </si>
  <si>
    <t>REKENOVERZICHT</t>
  </si>
  <si>
    <t>Financial year ending</t>
  </si>
  <si>
    <t>Counter</t>
  </si>
  <si>
    <t>CAPEX</t>
  </si>
  <si>
    <t>[€]</t>
  </si>
  <si>
    <t>Econ.levensduur</t>
  </si>
  <si>
    <t>Totaal Capex Primaire netten</t>
  </si>
  <si>
    <t>Totaal Capex Secundaire netten</t>
  </si>
  <si>
    <t>Totaal Capex overdrachtstations</t>
  </si>
  <si>
    <t>[€/stuk]</t>
  </si>
  <si>
    <t>Totaal Capex aansluiting grondgebonden</t>
  </si>
  <si>
    <t>Aantal afleversets grondgebonden</t>
  </si>
  <si>
    <t>€/stuk</t>
  </si>
  <si>
    <t>Totaal Capex warmtewisselaar  /afleversets / meter grondgebonden</t>
  </si>
  <si>
    <t>Totaal Capex aansluiting gestapeld</t>
  </si>
  <si>
    <t>Aantal afleversets gestapeld</t>
  </si>
  <si>
    <t>Totaal Capex warmtewisselaar  /afleversets / meter gestapeld</t>
  </si>
  <si>
    <t>Totaal Capex aansluiting overige kleinverbruikers</t>
  </si>
  <si>
    <t>Aantal afleversets overige kleinverbruikers</t>
  </si>
  <si>
    <t>Totaal Capex warmtewisselaar  /afleversets / meter overige kleinverbruikers</t>
  </si>
  <si>
    <t>Aantal kleinverbruikersaansluitingen na looptijd WIS-project</t>
  </si>
  <si>
    <t>Investeringen in loonkosten en kosten derden</t>
  </si>
  <si>
    <t>Totaal loonkosten en kosten derden</t>
  </si>
  <si>
    <t>Totaal CAPEX</t>
  </si>
  <si>
    <t>Investeringen in piekvoorzieningen</t>
  </si>
  <si>
    <t>Investeringskosten aansluitingen na looptijd WIS-project</t>
  </si>
  <si>
    <t>investeringskosten afleversets na looptijd WIS-project</t>
  </si>
  <si>
    <t>Investeringskosten na looptijd WIS-project</t>
  </si>
  <si>
    <t>Totaal CAPEX tbv ORT berekening</t>
  </si>
  <si>
    <t>AFSCHRIJVING (gebruik t.b.v. berekening belasting)</t>
  </si>
  <si>
    <t xml:space="preserve">Totaal CAPEX met afschrijving 30 jr (primair, secundair net, overdrachtstations, aansluiting) </t>
  </si>
  <si>
    <t>Einde levensduur</t>
  </si>
  <si>
    <t>Afschrijving primair, secundair net, onderstations, aansluiting</t>
  </si>
  <si>
    <t xml:space="preserve">Totaal CAPEX met afschrijving 15 jr (afleversets) </t>
  </si>
  <si>
    <t>Afschrijving afleversets</t>
  </si>
  <si>
    <t>Totaal afschrijvingen</t>
  </si>
  <si>
    <t>ONDERHOUD EN BEHEER</t>
  </si>
  <si>
    <t>Onderhoudskosten warmtenetten - overdrachtstations</t>
  </si>
  <si>
    <t>Onderhoudskosten aansluitingen en meetapparatuur</t>
  </si>
  <si>
    <t>Onderhoudskosten piek / backup</t>
  </si>
  <si>
    <t>Totaal onderhoudskosten</t>
  </si>
  <si>
    <t>Onderhoudskosten afleversets</t>
  </si>
  <si>
    <t>€/jaar/#</t>
  </si>
  <si>
    <t>Totaal onderhoudskosten afleversets</t>
  </si>
  <si>
    <t>Totaal administratieve lasten</t>
  </si>
  <si>
    <t>Totaal onderhoud en beheer</t>
  </si>
  <si>
    <t>KOSTEN ZLT-BRON</t>
  </si>
  <si>
    <t>AANSLUITBIJDRAGEN (BAK)</t>
  </si>
  <si>
    <t>Aansluitbijdrage individuele kleinverbruikers na looptijd WIS-project</t>
  </si>
  <si>
    <t>Totaal aansluitbijdragen</t>
  </si>
  <si>
    <t>OPBRENGSTEN KLANTEN</t>
  </si>
  <si>
    <t>Totaal inkomsten vastrecht, meettarief en afleverstation grondgebonden</t>
  </si>
  <si>
    <t>Totaal inkomsten marge warmteverbruik grondgebonden</t>
  </si>
  <si>
    <t>Totaal inkomsten vastrecht, meettarief en afleverstation gestapeld</t>
  </si>
  <si>
    <t>Totaal inkomsten marge warmteverbruik gestapeld</t>
  </si>
  <si>
    <t>Totaal inkomsten vastrecht, meettarief en afleverstation overige</t>
  </si>
  <si>
    <t>Totaal inkomsten marge warmteverbruik overige</t>
  </si>
  <si>
    <t>Aantal aansluitingen kleinverbruikers (cumulatief) na looptijd WIS-project</t>
  </si>
  <si>
    <t>Totaal inkomsten vastrecht, meettarief en afleverstation na looptijd WIS-project</t>
  </si>
  <si>
    <t>Warmteverbruik kleinverbruikers na looptijd WIS-project</t>
  </si>
  <si>
    <t>Totaal inkomsten marge warmteverbruik na looptijd WIS-project</t>
  </si>
  <si>
    <t>Totaal opbrengsten klanten</t>
  </si>
  <si>
    <t>VRIJVAL BAK</t>
  </si>
  <si>
    <t>Vrijval BAK</t>
  </si>
  <si>
    <t>BELASTING</t>
  </si>
  <si>
    <t>EBITDA</t>
  </si>
  <si>
    <t>EBIT</t>
  </si>
  <si>
    <t>Balans verrekenbare verliezen (oud)</t>
  </si>
  <si>
    <t>Verliezen toegevoegd</t>
  </si>
  <si>
    <t>Verliezen gebruikt (carry back)</t>
  </si>
  <si>
    <t>Verliezen gebruikt (carry forward)</t>
  </si>
  <si>
    <t>Balans verrekenbare verliezen (nieuw)</t>
  </si>
  <si>
    <t>Belastbare winst</t>
  </si>
  <si>
    <t>Belastbare winst (laag tarief)</t>
  </si>
  <si>
    <t>Belastbare winst (hoog tarief)</t>
  </si>
  <si>
    <t>Belasting (laag tarief)</t>
  </si>
  <si>
    <t>Belasting (hoog tarief)</t>
  </si>
  <si>
    <t>Terugvordering carry back</t>
  </si>
  <si>
    <t>KASSTROOMOVERZICHT</t>
  </si>
  <si>
    <t>Kasstroom</t>
  </si>
  <si>
    <t>Cumulatieve kasstroom</t>
  </si>
  <si>
    <t>BEREKENING VERSCHIL INVESTERING - EXPLOITATIEWINST</t>
  </si>
  <si>
    <t>Netto contante waarde 30 jaar exploitatie (exclusief WIS subsidie)</t>
  </si>
  <si>
    <t>Verschil investering - exploitatiewinst vóór belastingen</t>
  </si>
  <si>
    <t>Prognose WIS subsidie (ter indicatie, daadwerkelijk betalingsritme wordt vastgesteld bij beschikking)</t>
  </si>
  <si>
    <t>Prognose cumulatieve kasstroom (inclusief WIS subsidie)</t>
  </si>
  <si>
    <t>Actor-ID</t>
  </si>
  <si>
    <t>Project</t>
  </si>
  <si>
    <t>Dossier</t>
  </si>
  <si>
    <t>Activiteittype</t>
  </si>
  <si>
    <t>Organisatietype</t>
  </si>
  <si>
    <t>Investering kosten</t>
  </si>
  <si>
    <t>onrendabele top</t>
  </si>
  <si>
    <t>Verstrekte of ontvangen steun / subsidie</t>
  </si>
  <si>
    <t>aantal aansluitingen</t>
  </si>
  <si>
    <t>Maximale subsidie op basis van subsidiabele kosten</t>
  </si>
  <si>
    <t>Maximale subsidie op basis van 45% grens</t>
  </si>
  <si>
    <t xml:space="preserve">Gevraagde subsidie </t>
  </si>
  <si>
    <t>Geleverde warmte (GJ/jaar)</t>
  </si>
  <si>
    <t>mijlpaal</t>
  </si>
  <si>
    <t>LET OP: Deze lijsten worden op diverse tabbladen gebruikt in formules! Niet zomaar aanpassen of verplaatsen!</t>
  </si>
  <si>
    <t>Lijstnaam = Organisatietype</t>
  </si>
  <si>
    <t>Lijstnaam = Fase</t>
  </si>
  <si>
    <t>Lijstnaam = BTW</t>
  </si>
  <si>
    <t>Lijstnaam = SrtWoning</t>
  </si>
  <si>
    <t>Lijstnaam = Loonkosten</t>
  </si>
  <si>
    <t>Grote onderneming</t>
  </si>
  <si>
    <t>btw-plichtig</t>
  </si>
  <si>
    <t>Grondgebonden woningen (particulier)</t>
  </si>
  <si>
    <t>Jurist</t>
  </si>
  <si>
    <t>Middelgrote onderneming</t>
  </si>
  <si>
    <t>btw-vrijgesteld</t>
  </si>
  <si>
    <t>Gestapelde woningen (particulier)</t>
  </si>
  <si>
    <t>Inkoper</t>
  </si>
  <si>
    <t>Kleine onderneming</t>
  </si>
  <si>
    <t>Grondgebonden woningen (huur)</t>
  </si>
  <si>
    <t>Omgevingsmanager</t>
  </si>
  <si>
    <t>Overig</t>
  </si>
  <si>
    <t>Gestapelde woningen (huur)</t>
  </si>
  <si>
    <t>Engineer</t>
  </si>
  <si>
    <t>Projectleider</t>
  </si>
  <si>
    <t>Projectmanager</t>
  </si>
  <si>
    <t>Anders - vul handmatig in</t>
  </si>
  <si>
    <t>groepen in- en uitklappen werkt in beveiligde bladen, maar dan moet wel 'kolommen opmaken' en 'rijen opmaken' aangevinkt zijn!</t>
  </si>
  <si>
    <t>Ja</t>
  </si>
  <si>
    <t>Marge</t>
  </si>
  <si>
    <t>ACM 2024</t>
  </si>
  <si>
    <t>Huur afleverset</t>
  </si>
  <si>
    <t>Kosten bron</t>
  </si>
  <si>
    <t>LT</t>
  </si>
  <si>
    <t>ZLT</t>
  </si>
  <si>
    <t>Bronnenmix</t>
  </si>
  <si>
    <t>Aftapinstallaties / restwarmte</t>
  </si>
  <si>
    <t>Gebruikte getalsmatige waarden uit de regeling</t>
  </si>
  <si>
    <t>Artikel 4.10.3</t>
  </si>
  <si>
    <t>Onderdeel</t>
  </si>
  <si>
    <t xml:space="preserve">Waarde </t>
  </si>
  <si>
    <t>[eenheid]</t>
  </si>
  <si>
    <t xml:space="preserve">Omschrijving / toelichting </t>
  </si>
  <si>
    <t>Cap investering</t>
  </si>
  <si>
    <t>Cap investering huurwoning</t>
  </si>
  <si>
    <t>per #</t>
  </si>
  <si>
    <t>Maximale subsidie per kleinverbruikersaansluiting voor huurwoningen</t>
  </si>
  <si>
    <t>Cap investering particuliere woning</t>
  </si>
  <si>
    <t>Maximale subsidie per kleinverbruikersaansluiting voor particuliere woningen</t>
  </si>
  <si>
    <t>Artikel 4.10.4</t>
  </si>
  <si>
    <t>Vermogen kleinverbruikersaansluiting</t>
  </si>
  <si>
    <t>kW</t>
  </si>
  <si>
    <t>per kleinverbruikersaansluiting</t>
  </si>
  <si>
    <t>Vast uurtarief</t>
  </si>
  <si>
    <t>per uur</t>
  </si>
  <si>
    <t>Bijlage onderdeel 1</t>
  </si>
  <si>
    <t>Subcategorie</t>
  </si>
  <si>
    <t>r</t>
  </si>
  <si>
    <t xml:space="preserve"> </t>
  </si>
  <si>
    <t>Projectrendement na belasting</t>
  </si>
  <si>
    <t>T</t>
  </si>
  <si>
    <t>Looptijd NCW-berekening in jaren</t>
  </si>
  <si>
    <t>I</t>
  </si>
  <si>
    <t>Vast inflatiepercentage op kosten (inclusief herinvesteringen) en baten. Inflatie mag worden gerekend over kostenuitgangspunten vanaf het jaar van de aanvraag.</t>
  </si>
  <si>
    <t xml:space="preserve">M </t>
  </si>
  <si>
    <t>ZLT-netten</t>
  </si>
  <si>
    <t>Bij levering ZLT-warmte wordt alleen een vastrecht verkregen</t>
  </si>
  <si>
    <t>M aftap- en restwarmte</t>
  </si>
  <si>
    <t>per GJ</t>
  </si>
  <si>
    <t>Warmte uit aftapinstallaties of restwarmte</t>
  </si>
  <si>
    <t>M overige bronnen</t>
  </si>
  <si>
    <t xml:space="preserve">Warmte uit overige bronnen. Deze marge is van toepassing indien uit de duurzaamheidsberekening zoals bedoeld in artikel 4.10.7 onder c blijkt dat in 2030 minimaal 60% van de warmtebronnen in het warmtenet in deze categorie vallen. </t>
  </si>
  <si>
    <t>Kpiek</t>
  </si>
  <si>
    <t>per kW</t>
  </si>
  <si>
    <t>Kosten voor realisatie van piek/backupinstallaties ten behoeve van kleinverbruikers-aansluitingen (6kW per aansluiting conform 4.10.4 lid 3)</t>
  </si>
  <si>
    <t>Percentage van de investering per jaar</t>
  </si>
  <si>
    <t>V</t>
  </si>
  <si>
    <t>Huur afleverset - MT</t>
  </si>
  <si>
    <t>Huur afleverset - LT</t>
  </si>
  <si>
    <t>Huur afleverset - ZLT</t>
  </si>
  <si>
    <t xml:space="preserve">Afschrijvings-termijn </t>
  </si>
  <si>
    <t>Warmtenetten,  overdrachtstations, aansluiting</t>
  </si>
  <si>
    <t>Afschrijvingstermijn</t>
  </si>
  <si>
    <t>Afschrijvings-termijn</t>
  </si>
  <si>
    <t>Afleversets</t>
  </si>
  <si>
    <t xml:space="preserve">Afschrijvingstermijn. Eén keer herinvestering na 15 jaar. </t>
  </si>
  <si>
    <t>Kond</t>
  </si>
  <si>
    <t>Warmtenetten</t>
  </si>
  <si>
    <t>Percentage van de investering</t>
  </si>
  <si>
    <t>Overdrachtstations</t>
  </si>
  <si>
    <t>Aansluiting en meetapparatuur</t>
  </si>
  <si>
    <t>per jaar</t>
  </si>
  <si>
    <t>Per afleverset per jaar</t>
  </si>
  <si>
    <t>Kadm</t>
  </si>
  <si>
    <t>Per aansluiting per jaar</t>
  </si>
  <si>
    <t>Omschrijving / toelichting</t>
  </si>
  <si>
    <t>Q (t)</t>
  </si>
  <si>
    <t>Autonome vraagreductie per jaar door klimaatverandering</t>
  </si>
  <si>
    <t>KZLTbron</t>
  </si>
  <si>
    <t xml:space="preserve">Per GJ geleverd (inclusief warmteverlies). </t>
  </si>
  <si>
    <t>Vastrecht - MT</t>
  </si>
  <si>
    <t xml:space="preserve">Op basis van het gecorrigeerde tarievenbesluit warmte 2024. Onderbouwd afwijken is toegestaan tot een minimum van €240. Bij aanvraag moet dan voldoende worden aangetoond dat er een korting wordt gegeven op het vastrecht. Bij vaststelling van de subsidie wordt dit gecontroleerd. </t>
  </si>
  <si>
    <t>Vastrecht - LT</t>
  </si>
  <si>
    <t>Vastrecht - ZLT</t>
  </si>
  <si>
    <t>Minimaal vastrecht</t>
  </si>
  <si>
    <t>Zie bovenstaande omschrijving, regel toegevoegd i.v.m. verwerkbaarheid Excel</t>
  </si>
  <si>
    <t>Bijlage onderdeel 2</t>
  </si>
  <si>
    <t>Primair warmtenet</t>
  </si>
  <si>
    <t>Gemiddelde investering per strekkende kilometer primair net, d.w.z. het net vanaf de bron tot het overdrachtstation. Het gaat om het totaal voor de aanvoer- én de retourleiding.</t>
  </si>
  <si>
    <t>Gemiddelde investering per strekkende kilometer secundair net, d.w.z. het net vanaf het overdrachtstation door de straat. Het gaat om het totaal voor de aanvoer- én de retourleiding.</t>
  </si>
  <si>
    <t>Per stuk</t>
  </si>
  <si>
    <t>Grondgebonden  aansluiting</t>
  </si>
  <si>
    <t xml:space="preserve">Gemiddeld per aansluiting, inclusief aansluitleiding vanaf het secundaire warmtenet in de straat tot de afleverset. </t>
  </si>
  <si>
    <t xml:space="preserve">Aansluiting in de gestapelde bouw </t>
  </si>
  <si>
    <t>Gemiddeld per aansluiting</t>
  </si>
  <si>
    <t>Gemiddeld per afleverset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</si>
</sst>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 #,##0;[Red]&quot;€&quot;\ \-#,##0"/>
    <numFmt numFmtId="8" formatCode="&quot;€&quot;\ #,##0.00;[Red]&quot;€&quot;\ \-#,##0.00"/>
    <numFmt numFmtId="42" formatCode="_ &quot;€&quot;\ * #,##0_ ;_ &quot;€&quot;\ * \-#,##0_ ;_ &quot;€&quot;\ * &quot;-&quot;_ ;_ @_ "/>
    <numFmt numFmtId="44" formatCode="_ &quot;€&quot;\ * #,##0.00_ ;_ &quot;€&quot;\ * \-#,##0.00_ ;_ &quot;€&quot;\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0.0"/>
    <numFmt numFmtId="171" formatCode="#,##0.00_-"/>
    <numFmt numFmtId="172" formatCode="&quot;€&quot;\ #,##0_-"/>
    <numFmt numFmtId="173" formatCode="_-[$€-413]\ * #,##0_-;_-[$€-413]\ * #,##0\-;_-[$€-413]\ * &quot;-&quot;_-;_-@_-"/>
    <numFmt numFmtId="174" formatCode="\-"/>
    <numFmt numFmtId="175" formatCode="0.0"/>
    <numFmt numFmtId="176" formatCode="General_)"/>
    <numFmt numFmtId="177" formatCode="#,##0_);\(#,##0\);&quot;-  &quot;;&quot; &quot;@"/>
    <numFmt numFmtId="178" formatCode="#,##0.00_);\(#,##0.00\);&quot;-  &quot;;&quot; &quot;@"/>
    <numFmt numFmtId="179" formatCode="0.00%_);\-0.00%_);&quot;-  &quot;;&quot; &quot;@"/>
    <numFmt numFmtId="180" formatCode="#,##0.0_);\(#,##0.0\);&quot;-  &quot;;&quot; &quot;@"/>
    <numFmt numFmtId="181" formatCode="_ &quot;€&quot;\ * #,##0_ ;_ &quot;€&quot;\ * \-#,##0_ ;_ &quot;€&quot;\ * &quot;-&quot;??_ ;_ @_ "/>
    <numFmt numFmtId="182" formatCode="#,#00&quot; GJ&quot;"/>
    <numFmt numFmtId="183" formatCode="&quot;&lt;&quot;\ &quot;€&quot;\ #,##0;[Red]&quot;€&quot;\ \-#,##0"/>
    <numFmt numFmtId="184" formatCode="_ [$€-2]\ * #,##0_ ;_ [$€-2]\ * \-#,##0_ ;_ [$€-2]\ * &quot;-&quot;??_ ;_ @_ "/>
    <numFmt numFmtId="185" formatCode="_-* #,##0.0_-;_-* #,##0.0\-;_-* &quot;-&quot;??_-;_-@_-"/>
    <numFmt numFmtId="186" formatCode="#,#00.0&quot; GJ/jaar&quot;"/>
  </numFmts>
  <fonts count="118"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7.5"/>
      <color indexed="12"/>
      <name val="Times New Roman"/>
      <family val="1"/>
    </font>
    <font>
      <sz val="10"/>
      <name val="Times New Roman"/>
      <family val="1"/>
    </font>
    <font>
      <sz val="10"/>
      <name val="Verdana"/>
      <family val="2"/>
    </font>
    <font>
      <b/>
      <sz val="10"/>
      <name val="Verdana"/>
      <family val="2"/>
    </font>
    <font>
      <b/>
      <sz val="11"/>
      <name val="Verdana"/>
      <family val="2"/>
    </font>
    <font>
      <b/>
      <sz val="11"/>
      <color indexed="9"/>
      <name val="Verdana"/>
      <family val="2"/>
    </font>
    <font>
      <b/>
      <sz val="9"/>
      <color indexed="9"/>
      <name val="Verdana"/>
      <family val="2"/>
    </font>
    <font>
      <b/>
      <sz val="9"/>
      <name val="Verdana"/>
      <family val="2"/>
    </font>
    <font>
      <sz val="9"/>
      <name val="Verdana"/>
      <family val="2"/>
    </font>
    <font>
      <b/>
      <sz val="14"/>
      <name val="Verdana"/>
      <family val="2"/>
    </font>
    <font>
      <sz val="9"/>
      <color indexed="9"/>
      <name val="Verdana"/>
      <family val="2"/>
    </font>
    <font>
      <i/>
      <sz val="9"/>
      <name val="Verdana"/>
      <family val="2"/>
    </font>
    <font>
      <sz val="10"/>
      <name val="Arial"/>
      <family val="2"/>
    </font>
    <font>
      <sz val="10"/>
      <name val="Courier"/>
      <family val="3"/>
    </font>
    <font>
      <u/>
      <sz val="9"/>
      <color indexed="12"/>
      <name val="Verdana"/>
      <family val="2"/>
    </font>
    <font>
      <sz val="9"/>
      <color indexed="8"/>
      <name val="Verdana"/>
      <family val="2"/>
    </font>
    <font>
      <b/>
      <sz val="9"/>
      <color indexed="8"/>
      <name val="Verdana"/>
      <family val="2"/>
    </font>
    <font>
      <sz val="9"/>
      <color indexed="55"/>
      <name val="Verdana"/>
      <family val="2"/>
    </font>
    <font>
      <i/>
      <sz val="9"/>
      <color indexed="9"/>
      <name val="Verdana"/>
      <family val="2"/>
    </font>
    <font>
      <b/>
      <i/>
      <sz val="9"/>
      <color indexed="9"/>
      <name val="Verdana"/>
      <family val="2"/>
    </font>
    <font>
      <b/>
      <sz val="12"/>
      <name val="Verdana"/>
      <family val="2"/>
    </font>
    <font>
      <sz val="11"/>
      <color indexed="9"/>
      <name val="Verdana"/>
      <family val="2"/>
    </font>
    <font>
      <sz val="11"/>
      <name val="Verdana"/>
      <family val="2"/>
    </font>
    <font>
      <b/>
      <i/>
      <sz val="9"/>
      <name val="Verdana"/>
      <family val="2"/>
    </font>
    <font>
      <b/>
      <sz val="15"/>
      <name val="Verdana"/>
      <family val="2"/>
    </font>
    <font>
      <b/>
      <sz val="15"/>
      <color indexed="9"/>
      <name val="Verdana"/>
      <family val="2"/>
    </font>
    <font>
      <b/>
      <sz val="9"/>
      <color theme="1"/>
      <name val="Verdana"/>
      <family val="2"/>
    </font>
    <font>
      <b/>
      <sz val="9"/>
      <color rgb="FFFF0000"/>
      <name val="Verdana"/>
      <family val="2"/>
    </font>
    <font>
      <sz val="9"/>
      <color rgb="FFFF0000"/>
      <name val="Verdana"/>
      <family val="2"/>
    </font>
    <font>
      <sz val="9"/>
      <color rgb="FF000000"/>
      <name val="Verdana"/>
      <family val="2"/>
    </font>
    <font>
      <sz val="9"/>
      <color theme="1"/>
      <name val="Verdana"/>
      <family val="2"/>
    </font>
    <font>
      <b/>
      <sz val="9"/>
      <color rgb="FF0070C0"/>
      <name val="Verdana"/>
      <family val="2"/>
    </font>
    <font>
      <b/>
      <sz val="11"/>
      <color theme="0"/>
      <name val="Verdana"/>
      <family val="2"/>
    </font>
    <font>
      <sz val="11"/>
      <color theme="0"/>
      <name val="Verdana"/>
      <family val="2"/>
    </font>
    <font>
      <i/>
      <sz val="9"/>
      <color rgb="FFFF0000"/>
      <name val="Verdana"/>
      <family val="2"/>
    </font>
    <font>
      <sz val="10"/>
      <color theme="0"/>
      <name val="Arial"/>
      <family val="2"/>
    </font>
    <font>
      <b/>
      <sz val="11"/>
      <color rgb="FFFF0000"/>
      <name val="Verdana"/>
      <family val="2"/>
    </font>
    <font>
      <sz val="11"/>
      <color rgb="FFFF0000"/>
      <name val="Verdana"/>
      <family val="2"/>
    </font>
    <font>
      <b/>
      <sz val="9"/>
      <color rgb="FF000000"/>
      <name val="Verdana"/>
      <family val="2"/>
    </font>
    <font>
      <b/>
      <sz val="10"/>
      <color rgb="FF00B050"/>
      <name val="Verdana"/>
      <family val="2"/>
    </font>
    <font>
      <sz val="10"/>
      <color rgb="FFFF0000"/>
      <name val="Arial"/>
      <family val="2"/>
    </font>
    <font>
      <u/>
      <sz val="9"/>
      <color rgb="FF0000FF"/>
      <name val="Verdana"/>
      <family val="2"/>
    </font>
    <font>
      <b/>
      <i/>
      <sz val="9"/>
      <color rgb="FFFF0000"/>
      <name val="Verdana"/>
      <family val="2"/>
    </font>
    <font>
      <sz val="11"/>
      <color rgb="FFFF0000"/>
      <name val="Calibri"/>
      <family val="2"/>
      <scheme val="minor"/>
    </font>
    <font>
      <b/>
      <sz val="11"/>
      <color theme="1"/>
      <name val="Calibri"/>
      <family val="2"/>
      <scheme val="minor"/>
    </font>
    <font>
      <u/>
      <sz val="11"/>
      <color theme="10"/>
      <name val="Calibri"/>
      <family val="2"/>
      <scheme val="minor"/>
    </font>
    <font>
      <i/>
      <sz val="11"/>
      <color theme="1"/>
      <name val="Calibri"/>
      <family val="2"/>
      <scheme val="minor"/>
    </font>
    <font>
      <b/>
      <i/>
      <sz val="11"/>
      <color theme="1"/>
      <name val="Calibri"/>
      <family val="2"/>
      <scheme val="minor"/>
    </font>
    <font>
      <b/>
      <sz val="18"/>
      <color rgb="FFC00000"/>
      <name val="Calibri"/>
      <family val="2"/>
      <scheme val="minor"/>
    </font>
    <font>
      <u/>
      <sz val="9"/>
      <color rgb="FF000000"/>
      <name val="Verdana"/>
      <family val="2"/>
    </font>
    <font>
      <b/>
      <sz val="7"/>
      <color theme="0"/>
      <name val="Verdana"/>
      <family val="2"/>
    </font>
    <font>
      <b/>
      <sz val="11"/>
      <color rgb="FFFFFFFF"/>
      <name val="Verdana"/>
      <family val="2"/>
    </font>
    <font>
      <u/>
      <sz val="9"/>
      <name val="Verdana"/>
      <family val="2"/>
    </font>
    <font>
      <i/>
      <sz val="9"/>
      <color theme="1"/>
      <name val="Verdana"/>
      <family val="2"/>
    </font>
    <font>
      <sz val="11"/>
      <color theme="1"/>
      <name val="Verdana"/>
      <family val="2"/>
    </font>
    <font>
      <b/>
      <sz val="18"/>
      <color rgb="FFC00000"/>
      <name val="Verdana"/>
      <family val="2"/>
    </font>
    <font>
      <b/>
      <sz val="16"/>
      <color theme="1"/>
      <name val="Verdana"/>
      <family val="2"/>
    </font>
    <font>
      <sz val="16"/>
      <color theme="1"/>
      <name val="Verdana"/>
      <family val="2"/>
    </font>
    <font>
      <b/>
      <i/>
      <sz val="11"/>
      <color theme="1"/>
      <name val="Verdana"/>
      <family val="2"/>
    </font>
    <font>
      <b/>
      <sz val="11"/>
      <color theme="1"/>
      <name val="Verdana"/>
      <family val="2"/>
    </font>
    <font>
      <b/>
      <sz val="12"/>
      <color theme="1"/>
      <name val="Verdana"/>
      <family val="2"/>
    </font>
    <font>
      <sz val="11"/>
      <color theme="1" tint="0.499984740745262"/>
      <name val="Verdana"/>
      <family val="2"/>
    </font>
    <font>
      <sz val="11"/>
      <color theme="0" tint="-0.499984740745262"/>
      <name val="Verdana"/>
      <family val="2"/>
    </font>
    <font>
      <sz val="16"/>
      <color theme="0" tint="-0.499984740745262"/>
      <name val="Verdana"/>
      <family val="2"/>
    </font>
    <font>
      <b/>
      <sz val="11"/>
      <color theme="0" tint="-0.499984740745262"/>
      <name val="Verdana"/>
      <family val="2"/>
    </font>
    <font>
      <b/>
      <i/>
      <sz val="9"/>
      <color theme="1"/>
      <name val="Verdana"/>
      <family val="2"/>
    </font>
    <font>
      <b/>
      <sz val="9"/>
      <color theme="1" tint="0.499984740745262"/>
      <name val="Verdana"/>
      <family val="2"/>
    </font>
    <font>
      <sz val="9"/>
      <color theme="1" tint="0.499984740745262"/>
      <name val="Verdana"/>
      <family val="2"/>
    </font>
    <font>
      <i/>
      <sz val="9"/>
      <color theme="1" tint="0.499984740745262"/>
      <name val="Verdana"/>
      <family val="2"/>
    </font>
    <font>
      <u/>
      <sz val="9"/>
      <color theme="10"/>
      <name val="Verdana"/>
      <family val="2"/>
    </font>
    <font>
      <i/>
      <sz val="9"/>
      <color theme="0" tint="-0.34998626667073579"/>
      <name val="Verdana"/>
      <family val="2"/>
    </font>
    <font>
      <vertAlign val="superscript"/>
      <sz val="9"/>
      <color theme="1"/>
      <name val="Verdana"/>
      <family val="2"/>
    </font>
    <font>
      <sz val="9"/>
      <color rgb="FF1111FF"/>
      <name val="Verdana"/>
      <family val="2"/>
    </font>
    <font>
      <b/>
      <sz val="9"/>
      <color theme="0" tint="-0.499984740745262"/>
      <name val="Verdana"/>
      <family val="2"/>
    </font>
    <font>
      <sz val="9"/>
      <color theme="0" tint="-0.499984740745262"/>
      <name val="Verdana"/>
      <family val="2"/>
    </font>
    <font>
      <b/>
      <sz val="9"/>
      <color rgb="FFD51B1E"/>
      <name val="Verdana"/>
      <family val="2"/>
    </font>
    <font>
      <i/>
      <sz val="9"/>
      <color rgb="FFC00000"/>
      <name val="Verdana"/>
      <family val="2"/>
    </font>
    <font>
      <sz val="9"/>
      <color rgb="FFC00000"/>
      <name val="Verdana"/>
      <family val="2"/>
    </font>
    <font>
      <sz val="9"/>
      <color theme="0"/>
      <name val="Verdana"/>
      <family val="2"/>
    </font>
    <font>
      <sz val="11"/>
      <name val="Calibri"/>
      <family val="2"/>
    </font>
    <font>
      <i/>
      <sz val="9"/>
      <color theme="7" tint="0.39997558519241921"/>
      <name val="Verdana"/>
      <family val="2"/>
    </font>
    <font>
      <sz val="9"/>
      <color theme="1"/>
      <name val="Calibri"/>
      <family val="2"/>
      <scheme val="minor"/>
    </font>
    <font>
      <b/>
      <sz val="9"/>
      <color rgb="FFC00000"/>
      <name val="Calibri"/>
      <family val="2"/>
      <scheme val="minor"/>
    </font>
    <font>
      <b/>
      <i/>
      <sz val="9"/>
      <color theme="1"/>
      <name val="Calibri"/>
      <family val="2"/>
      <scheme val="minor"/>
    </font>
    <font>
      <b/>
      <sz val="9"/>
      <color theme="1"/>
      <name val="Calibri"/>
      <family val="2"/>
      <scheme val="minor"/>
    </font>
    <font>
      <b/>
      <sz val="9"/>
      <name val="Calibri"/>
      <family val="2"/>
      <scheme val="minor"/>
    </font>
    <font>
      <sz val="9"/>
      <name val="Arial"/>
      <family val="2"/>
    </font>
    <font>
      <sz val="9"/>
      <name val="Calibri"/>
      <family val="2"/>
      <scheme val="minor"/>
    </font>
    <font>
      <sz val="9"/>
      <color rgb="FF1111FF"/>
      <name val="Calibri"/>
      <family val="2"/>
      <scheme val="minor"/>
    </font>
    <font>
      <sz val="9"/>
      <color indexed="12"/>
      <name val="Calibri"/>
      <family val="2"/>
      <scheme val="minor"/>
    </font>
    <font>
      <b/>
      <sz val="9"/>
      <color rgb="FF1111FF"/>
      <name val="Calibri"/>
      <family val="2"/>
      <scheme val="minor"/>
    </font>
    <font>
      <b/>
      <sz val="9"/>
      <color indexed="12"/>
      <name val="Calibri"/>
      <family val="2"/>
      <scheme val="minor"/>
    </font>
    <font>
      <sz val="9"/>
      <color rgb="FFFF0000"/>
      <name val="Calibri"/>
      <family val="2"/>
      <scheme val="minor"/>
    </font>
    <font>
      <b/>
      <sz val="9"/>
      <color theme="0"/>
      <name val="Verdana"/>
      <family val="2"/>
    </font>
    <font>
      <b/>
      <sz val="9"/>
      <color rgb="FFC00000"/>
      <name val="Verdana"/>
      <family val="2"/>
    </font>
    <font>
      <b/>
      <sz val="10"/>
      <color rgb="FFC00000"/>
      <name val="Arial"/>
      <family val="2"/>
    </font>
    <font>
      <sz val="10"/>
      <color rgb="FFC00000"/>
      <name val="Arial"/>
      <family val="2"/>
    </font>
    <font>
      <sz val="16"/>
      <color rgb="FFC00000"/>
      <name val="Verdana"/>
      <family val="2"/>
    </font>
    <font>
      <b/>
      <sz val="16"/>
      <color rgb="FFC00000"/>
      <name val="Verdana"/>
      <family val="2"/>
    </font>
    <font>
      <sz val="11"/>
      <color rgb="FFC00000"/>
      <name val="Verdana"/>
      <family val="2"/>
    </font>
    <font>
      <i/>
      <sz val="9"/>
      <color rgb="FF9E2016"/>
      <name val="Verdana"/>
      <family val="2"/>
    </font>
    <font>
      <sz val="9"/>
      <color theme="9" tint="-0.499984740745262"/>
      <name val="Calibri"/>
      <family val="2"/>
      <scheme val="minor"/>
    </font>
    <font>
      <b/>
      <sz val="9"/>
      <color theme="9" tint="-0.499984740745262"/>
      <name val="Calibri"/>
      <family val="2"/>
      <scheme val="minor"/>
    </font>
    <font>
      <b/>
      <sz val="20"/>
      <color rgb="FFFF0000"/>
      <name val="Arial"/>
      <family val="2"/>
    </font>
    <font>
      <b/>
      <sz val="20"/>
      <name val="Verdana"/>
      <family val="2"/>
    </font>
    <font>
      <sz val="9"/>
      <color theme="4"/>
      <name val="Verdana"/>
      <family val="2"/>
    </font>
    <font>
      <b/>
      <i/>
      <sz val="8"/>
      <name val="Verdana"/>
      <family val="2"/>
    </font>
    <font>
      <sz val="9"/>
      <color rgb="FF007BC7"/>
      <name val="Verdana"/>
      <family val="2"/>
    </font>
    <font>
      <u/>
      <sz val="9"/>
      <color rgb="FF007BC7"/>
      <name val="Verdana"/>
      <family val="2"/>
    </font>
    <font>
      <sz val="11"/>
      <color rgb="FF000000"/>
      <name val="Calibri"/>
      <family val="2"/>
      <scheme val="minor"/>
    </font>
    <font>
      <i/>
      <sz val="8"/>
      <color rgb="FF000000"/>
      <name val="Verdana"/>
      <family val="2"/>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1"/>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5"/>
      </patternFill>
    </fill>
    <fill>
      <patternFill patternType="solid">
        <fgColor rgb="FFFFC000"/>
        <bgColor indexed="64"/>
      </patternFill>
    </fill>
    <fill>
      <patternFill patternType="solid">
        <fgColor theme="2" tint="-9.9978637043366805E-2"/>
        <bgColor indexed="64"/>
      </patternFill>
    </fill>
    <fill>
      <patternFill patternType="solid">
        <fgColor rgb="FFB2D7EE"/>
        <bgColor indexed="64"/>
      </patternFill>
    </fill>
    <fill>
      <patternFill patternType="solid">
        <fgColor rgb="FFFFFFDC"/>
        <bgColor indexed="64"/>
      </patternFill>
    </fill>
    <fill>
      <patternFill patternType="solid">
        <fgColor rgb="FFE1EDDB"/>
        <bgColor indexed="64"/>
      </patternFill>
    </fill>
    <fill>
      <patternFill patternType="solid">
        <fgColor rgb="FFF6D4B2"/>
        <bgColor indexed="64"/>
      </patternFill>
    </fill>
    <fill>
      <patternFill patternType="solid">
        <fgColor rgb="FFCCCCCC"/>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8DB4E2"/>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DC"/>
        <bgColor rgb="FF000000"/>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right/>
      <top/>
      <bottom style="dotted">
        <color theme="0" tint="-0.34998626667073579"/>
      </bottom>
      <diagonal/>
    </border>
    <border>
      <left style="hair">
        <color auto="1"/>
      </left>
      <right style="hair">
        <color auto="1"/>
      </right>
      <top style="hair">
        <color auto="1"/>
      </top>
      <bottom style="hair">
        <color auto="1"/>
      </bottom>
      <diagonal/>
    </border>
    <border>
      <left/>
      <right/>
      <top style="thin">
        <color rgb="FF808080"/>
      </top>
      <bottom/>
      <diagonal/>
    </border>
    <border>
      <left/>
      <right/>
      <top style="thin">
        <color rgb="FF808080"/>
      </top>
      <bottom style="thin">
        <color rgb="FF808080"/>
      </bottom>
      <diagonal/>
    </border>
    <border>
      <left/>
      <right style="thin">
        <color indexed="64"/>
      </right>
      <top style="thin">
        <color rgb="FF808080"/>
      </top>
      <bottom style="thin">
        <color rgb="FF808080"/>
      </bottom>
      <diagonal/>
    </border>
    <border>
      <left style="hair">
        <color auto="1"/>
      </left>
      <right style="hair">
        <color auto="1"/>
      </right>
      <top style="hair">
        <color auto="1"/>
      </top>
      <bottom style="thin">
        <color indexed="64"/>
      </bottom>
      <diagonal/>
    </border>
    <border>
      <left/>
      <right/>
      <top style="thin">
        <color indexed="64"/>
      </top>
      <bottom style="thin">
        <color rgb="FF808080"/>
      </bottom>
      <diagonal/>
    </border>
    <border>
      <left/>
      <right style="thin">
        <color indexed="64"/>
      </right>
      <top style="thin">
        <color indexed="64"/>
      </top>
      <bottom style="thin">
        <color rgb="FF80808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dotted">
        <color indexed="64"/>
      </bottom>
      <diagonal/>
    </border>
    <border>
      <left/>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hair">
        <color auto="1"/>
      </left>
      <right style="thin">
        <color indexed="64"/>
      </right>
      <top style="hair">
        <color auto="1"/>
      </top>
      <bottom style="hair">
        <color auto="1"/>
      </bottom>
      <diagonal/>
    </border>
    <border>
      <left/>
      <right style="hair">
        <color auto="1"/>
      </right>
      <top style="hair">
        <color auto="1"/>
      </top>
      <bottom style="thin">
        <color indexed="64"/>
      </bottom>
      <diagonal/>
    </border>
    <border>
      <left style="hair">
        <color auto="1"/>
      </left>
      <right style="hair">
        <color auto="1"/>
      </right>
      <top style="hair">
        <color auto="1"/>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thin">
        <color rgb="FF808080"/>
      </bottom>
      <diagonal/>
    </border>
    <border>
      <left style="thin">
        <color indexed="64"/>
      </left>
      <right/>
      <top style="thin">
        <color indexed="64"/>
      </top>
      <bottom style="double">
        <color indexed="64"/>
      </bottom>
      <diagonal/>
    </border>
    <border>
      <left style="hair">
        <color auto="1"/>
      </left>
      <right style="hair">
        <color auto="1"/>
      </right>
      <top style="thin">
        <color indexed="64"/>
      </top>
      <bottom style="hair">
        <color auto="1"/>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medium">
        <color rgb="FF000000"/>
      </top>
      <bottom style="medium">
        <color indexed="64"/>
      </bottom>
      <diagonal/>
    </border>
    <border>
      <left style="thin">
        <color indexed="64"/>
      </left>
      <right style="medium">
        <color rgb="FF000000"/>
      </right>
      <top style="medium">
        <color rgb="FF000000"/>
      </top>
      <bottom style="medium">
        <color indexed="64"/>
      </bottom>
      <diagonal/>
    </border>
    <border>
      <left style="medium">
        <color rgb="FF000000"/>
      </left>
      <right style="thin">
        <color indexed="64"/>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medium">
        <color rgb="FF000000"/>
      </right>
      <top style="thin">
        <color indexed="64"/>
      </top>
      <bottom style="medium">
        <color rgb="FF000000"/>
      </bottom>
      <diagonal/>
    </border>
    <border>
      <left/>
      <right style="thin">
        <color indexed="64"/>
      </right>
      <top style="medium">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
      <left style="medium">
        <color indexed="64"/>
      </left>
      <right style="medium">
        <color indexed="64"/>
      </right>
      <top style="medium">
        <color indexed="64"/>
      </top>
      <bottom/>
      <diagonal/>
    </border>
  </borders>
  <cellStyleXfs count="22">
    <xf numFmtId="0" fontId="0" fillId="0" borderId="0"/>
    <xf numFmtId="166" fontId="3" fillId="0" borderId="0" applyFont="0" applyFill="0" applyBorder="0" applyAlignment="0" applyProtection="0"/>
    <xf numFmtId="166" fontId="19" fillId="0" borderId="0" applyFont="0" applyFill="0" applyBorder="0" applyAlignment="0" applyProtection="0"/>
    <xf numFmtId="166" fontId="5" fillId="0" borderId="0" applyFont="0" applyFill="0" applyBorder="0" applyAlignment="0" applyProtection="0"/>
    <xf numFmtId="0" fontId="7" fillId="0" borderId="0" applyNumberFormat="0" applyFill="0" applyBorder="0" applyAlignment="0" applyProtection="0">
      <alignment vertical="top"/>
      <protection locked="0"/>
    </xf>
    <xf numFmtId="167" fontId="3" fillId="0" borderId="0" applyFont="0" applyFill="0" applyBorder="0" applyAlignment="0" applyProtection="0"/>
    <xf numFmtId="167" fontId="19" fillId="0" borderId="0" applyFont="0" applyFill="0" applyBorder="0" applyAlignment="0" applyProtection="0"/>
    <xf numFmtId="167" fontId="5"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0" fontId="5" fillId="0" borderId="0"/>
    <xf numFmtId="176" fontId="20" fillId="0" borderId="0"/>
    <xf numFmtId="0" fontId="8" fillId="0" borderId="0"/>
    <xf numFmtId="166" fontId="3" fillId="0" borderId="0" applyFont="0" applyFill="0" applyBorder="0" applyAlignment="0" applyProtection="0"/>
    <xf numFmtId="0" fontId="2" fillId="17" borderId="0" applyNumberFormat="0" applyBorder="0" applyAlignment="0" applyProtection="0"/>
    <xf numFmtId="177" fontId="2" fillId="0" borderId="0" applyFont="0" applyFill="0" applyBorder="0" applyProtection="0">
      <alignment vertical="top"/>
    </xf>
    <xf numFmtId="177" fontId="52" fillId="0" borderId="0" applyNumberFormat="0" applyFill="0" applyBorder="0" applyAlignment="0" applyProtection="0">
      <alignment vertical="top"/>
    </xf>
    <xf numFmtId="179" fontId="2" fillId="0" borderId="0" applyFont="0" applyFill="0" applyBorder="0" applyProtection="0">
      <alignment vertical="top"/>
    </xf>
    <xf numFmtId="177" fontId="2" fillId="0" borderId="0" applyFont="0" applyFill="0" applyBorder="0" applyProtection="0">
      <alignment vertical="top"/>
    </xf>
    <xf numFmtId="44" fontId="2" fillId="0" borderId="0" applyFont="0" applyFill="0" applyBorder="0" applyAlignment="0" applyProtection="0"/>
    <xf numFmtId="0" fontId="2" fillId="0" borderId="0"/>
  </cellStyleXfs>
  <cellXfs count="1192">
    <xf numFmtId="0" fontId="0" fillId="0" borderId="0" xfId="0"/>
    <xf numFmtId="0" fontId="4" fillId="0" borderId="0" xfId="0" applyFont="1"/>
    <xf numFmtId="0" fontId="9" fillId="0" borderId="0" xfId="0" applyFont="1"/>
    <xf numFmtId="0" fontId="10" fillId="0" borderId="0" xfId="13" applyFont="1"/>
    <xf numFmtId="0" fontId="9" fillId="0" borderId="0" xfId="13" applyFont="1"/>
    <xf numFmtId="0" fontId="10" fillId="0" borderId="0" xfId="0" applyFont="1"/>
    <xf numFmtId="0" fontId="10" fillId="6" borderId="0" xfId="0" applyFont="1" applyFill="1"/>
    <xf numFmtId="0" fontId="9" fillId="6" borderId="0" xfId="0" applyFont="1" applyFill="1"/>
    <xf numFmtId="0" fontId="0" fillId="6" borderId="0" xfId="0" applyFill="1"/>
    <xf numFmtId="0" fontId="15" fillId="7" borderId="0" xfId="11" applyFont="1" applyFill="1"/>
    <xf numFmtId="0" fontId="14" fillId="7" borderId="0" xfId="11" applyFont="1" applyFill="1" applyAlignment="1">
      <alignment horizontal="left"/>
    </xf>
    <xf numFmtId="0" fontId="14" fillId="7" borderId="0" xfId="11" applyFont="1" applyFill="1"/>
    <xf numFmtId="0" fontId="15" fillId="0" borderId="0" xfId="13" applyFont="1"/>
    <xf numFmtId="174" fontId="15" fillId="8" borderId="1" xfId="0" applyNumberFormat="1" applyFont="1" applyFill="1" applyBorder="1"/>
    <xf numFmtId="0" fontId="15" fillId="0" borderId="0" xfId="0" applyFont="1"/>
    <xf numFmtId="0" fontId="15" fillId="7" borderId="0" xfId="11" applyFont="1" applyFill="1" applyAlignment="1">
      <alignment horizontal="left"/>
    </xf>
    <xf numFmtId="0" fontId="15" fillId="7" borderId="0" xfId="11" applyFont="1" applyFill="1" applyAlignment="1">
      <alignment vertical="top"/>
    </xf>
    <xf numFmtId="0" fontId="15" fillId="0" borderId="0" xfId="11" applyFont="1"/>
    <xf numFmtId="0" fontId="17" fillId="0" borderId="0" xfId="11" applyFont="1"/>
    <xf numFmtId="14" fontId="33" fillId="4" borderId="3" xfId="13" applyNumberFormat="1" applyFont="1" applyFill="1" applyBorder="1"/>
    <xf numFmtId="0" fontId="13" fillId="4" borderId="0" xfId="13" applyFont="1" applyFill="1"/>
    <xf numFmtId="14" fontId="14" fillId="4" borderId="0" xfId="13" applyNumberFormat="1" applyFont="1" applyFill="1"/>
    <xf numFmtId="0" fontId="34" fillId="0" borderId="0" xfId="13" applyFont="1"/>
    <xf numFmtId="0" fontId="14" fillId="0" borderId="0" xfId="13" applyFont="1"/>
    <xf numFmtId="0" fontId="15" fillId="0" borderId="0" xfId="13" applyFont="1" applyAlignment="1">
      <alignment horizontal="center"/>
    </xf>
    <xf numFmtId="0" fontId="14" fillId="0" borderId="0" xfId="13" applyFont="1" applyAlignment="1">
      <alignment horizontal="center"/>
    </xf>
    <xf numFmtId="49" fontId="15" fillId="0" borderId="0" xfId="13" applyNumberFormat="1" applyFont="1"/>
    <xf numFmtId="170" fontId="15" fillId="0" borderId="0" xfId="13" applyNumberFormat="1" applyFont="1" applyAlignment="1">
      <alignment horizontal="center"/>
    </xf>
    <xf numFmtId="0" fontId="34" fillId="0" borderId="0" xfId="13" applyFont="1" applyAlignment="1">
      <alignment vertical="center"/>
    </xf>
    <xf numFmtId="0" fontId="21" fillId="7" borderId="0" xfId="4" applyFont="1" applyFill="1" applyAlignment="1" applyProtection="1">
      <alignment horizontal="left"/>
    </xf>
    <xf numFmtId="0" fontId="0" fillId="0" borderId="0" xfId="0" applyAlignment="1">
      <alignment vertical="top"/>
    </xf>
    <xf numFmtId="0" fontId="15" fillId="0" borderId="0" xfId="0" applyFont="1" applyAlignment="1">
      <alignment vertical="top"/>
    </xf>
    <xf numFmtId="0" fontId="24" fillId="0" borderId="0" xfId="0" applyFont="1"/>
    <xf numFmtId="0" fontId="15" fillId="3" borderId="0" xfId="0" applyFont="1" applyFill="1"/>
    <xf numFmtId="14" fontId="15" fillId="0" borderId="0" xfId="0" applyNumberFormat="1" applyFont="1"/>
    <xf numFmtId="0" fontId="13" fillId="4" borderId="4" xfId="0" applyFont="1" applyFill="1" applyBorder="1" applyAlignment="1">
      <alignment horizontal="left"/>
    </xf>
    <xf numFmtId="0" fontId="17" fillId="4" borderId="5" xfId="0" applyFont="1" applyFill="1" applyBorder="1" applyAlignment="1">
      <alignment horizontal="left"/>
    </xf>
    <xf numFmtId="0" fontId="25" fillId="4" borderId="5" xfId="0" applyFont="1" applyFill="1" applyBorder="1" applyAlignment="1">
      <alignment horizontal="left"/>
    </xf>
    <xf numFmtId="0" fontId="26" fillId="4" borderId="5" xfId="0" applyFont="1" applyFill="1" applyBorder="1" applyAlignment="1">
      <alignment horizontal="left"/>
    </xf>
    <xf numFmtId="0" fontId="17" fillId="4" borderId="6" xfId="0" applyFont="1" applyFill="1" applyBorder="1" applyAlignment="1">
      <alignment horizontal="left"/>
    </xf>
    <xf numFmtId="0" fontId="14" fillId="7" borderId="0" xfId="11" applyFont="1" applyFill="1" applyAlignment="1">
      <alignment vertical="top"/>
    </xf>
    <xf numFmtId="0" fontId="15" fillId="0" borderId="0" xfId="0" applyFont="1" applyAlignment="1">
      <alignment horizontal="left"/>
    </xf>
    <xf numFmtId="165" fontId="15" fillId="0" borderId="0" xfId="0" applyNumberFormat="1" applyFont="1" applyAlignment="1">
      <alignment horizontal="left"/>
    </xf>
    <xf numFmtId="0" fontId="15" fillId="0" borderId="0" xfId="13" applyFont="1" applyAlignment="1">
      <alignment wrapText="1"/>
    </xf>
    <xf numFmtId="0" fontId="14" fillId="0" borderId="0" xfId="0" applyFont="1" applyAlignment="1">
      <alignment horizontal="left"/>
    </xf>
    <xf numFmtId="0" fontId="17" fillId="3" borderId="0" xfId="0" applyFont="1" applyFill="1" applyAlignment="1">
      <alignment horizontal="left" wrapText="1"/>
    </xf>
    <xf numFmtId="0" fontId="15" fillId="3" borderId="0" xfId="13" applyFont="1" applyFill="1"/>
    <xf numFmtId="171" fontId="15" fillId="0" borderId="0" xfId="13" applyNumberFormat="1" applyFont="1"/>
    <xf numFmtId="169" fontId="14" fillId="0" borderId="0" xfId="1" applyNumberFormat="1" applyFont="1" applyFill="1" applyAlignment="1"/>
    <xf numFmtId="0" fontId="15" fillId="0" borderId="0" xfId="0" applyFont="1" applyAlignment="1">
      <alignment vertical="top" wrapText="1"/>
    </xf>
    <xf numFmtId="0" fontId="14" fillId="0" borderId="0" xfId="13" applyFont="1" applyAlignment="1">
      <alignment horizontal="right"/>
    </xf>
    <xf numFmtId="0" fontId="15" fillId="0" borderId="12" xfId="0" applyFont="1" applyBorder="1"/>
    <xf numFmtId="0" fontId="15" fillId="0" borderId="0" xfId="11" applyFont="1" applyAlignment="1">
      <alignment vertical="top"/>
    </xf>
    <xf numFmtId="0" fontId="17" fillId="0" borderId="0" xfId="11" applyFont="1" applyAlignment="1">
      <alignment vertical="top"/>
    </xf>
    <xf numFmtId="0" fontId="36" fillId="0" borderId="0" xfId="0" applyFont="1" applyAlignment="1">
      <alignment vertical="top"/>
    </xf>
    <xf numFmtId="0" fontId="15" fillId="0" borderId="0" xfId="13" applyFont="1" applyAlignment="1">
      <alignment vertical="top"/>
    </xf>
    <xf numFmtId="0" fontId="22" fillId="0" borderId="0" xfId="0" applyFont="1" applyAlignment="1">
      <alignment vertical="top"/>
    </xf>
    <xf numFmtId="0" fontId="15" fillId="7" borderId="0" xfId="0" applyFont="1" applyFill="1"/>
    <xf numFmtId="0" fontId="15" fillId="7" borderId="0" xfId="13" applyFont="1" applyFill="1" applyAlignment="1">
      <alignment vertical="top"/>
    </xf>
    <xf numFmtId="0" fontId="15" fillId="0" borderId="0" xfId="11" applyFont="1" applyAlignment="1">
      <alignment horizontal="left"/>
    </xf>
    <xf numFmtId="165" fontId="15" fillId="0" borderId="0" xfId="0" applyNumberFormat="1" applyFont="1"/>
    <xf numFmtId="0" fontId="35" fillId="0" borderId="0" xfId="13" applyFont="1"/>
    <xf numFmtId="0" fontId="37" fillId="0" borderId="0" xfId="13" applyFont="1"/>
    <xf numFmtId="0" fontId="14" fillId="0" borderId="0" xfId="13" applyFont="1" applyAlignment="1">
      <alignment horizontal="right" vertical="top"/>
    </xf>
    <xf numFmtId="49" fontId="15" fillId="0" borderId="0" xfId="13" applyNumberFormat="1" applyFont="1" applyAlignment="1">
      <alignment horizontal="left" vertical="top"/>
    </xf>
    <xf numFmtId="0" fontId="38" fillId="0" borderId="0" xfId="13" applyFont="1" applyAlignment="1">
      <alignment vertical="top"/>
    </xf>
    <xf numFmtId="0" fontId="14" fillId="0" borderId="0" xfId="13" applyFont="1" applyAlignment="1">
      <alignment vertical="top"/>
    </xf>
    <xf numFmtId="0" fontId="14" fillId="0" borderId="0" xfId="0" applyFont="1" applyAlignment="1">
      <alignment vertical="top"/>
    </xf>
    <xf numFmtId="164" fontId="15" fillId="0" borderId="0" xfId="0" applyNumberFormat="1" applyFont="1" applyAlignment="1">
      <alignment vertical="top"/>
    </xf>
    <xf numFmtId="9" fontId="15" fillId="0" borderId="0" xfId="13" applyNumberFormat="1" applyFont="1" applyAlignment="1">
      <alignment horizontal="center" vertical="top"/>
    </xf>
    <xf numFmtId="165" fontId="15" fillId="0" borderId="0" xfId="0" applyNumberFormat="1" applyFont="1" applyAlignment="1">
      <alignment vertical="top"/>
    </xf>
    <xf numFmtId="9" fontId="15" fillId="0" borderId="0" xfId="8" applyFont="1" applyFill="1" applyBorder="1" applyAlignment="1" applyProtection="1">
      <alignment horizontal="center" vertical="top"/>
    </xf>
    <xf numFmtId="0" fontId="15" fillId="0" borderId="0" xfId="0" applyFont="1" applyAlignment="1">
      <alignment horizontal="left" vertical="top" wrapText="1"/>
    </xf>
    <xf numFmtId="165" fontId="15" fillId="0" borderId="0" xfId="1" applyNumberFormat="1" applyFont="1" applyBorder="1" applyAlignment="1" applyProtection="1">
      <alignment vertical="top"/>
    </xf>
    <xf numFmtId="0" fontId="35" fillId="0" borderId="3" xfId="0" applyFont="1" applyBorder="1" applyAlignment="1">
      <alignment vertical="center"/>
    </xf>
    <xf numFmtId="0" fontId="35" fillId="0" borderId="0" xfId="0" applyFont="1"/>
    <xf numFmtId="0" fontId="27" fillId="7" borderId="0" xfId="11" applyFont="1" applyFill="1" applyAlignment="1">
      <alignment vertical="top"/>
    </xf>
    <xf numFmtId="0" fontId="12" fillId="4" borderId="0" xfId="11" applyFont="1" applyFill="1" applyAlignment="1">
      <alignment vertical="center"/>
    </xf>
    <xf numFmtId="0" fontId="28" fillId="4" borderId="0" xfId="11" applyFont="1" applyFill="1" applyAlignment="1">
      <alignment vertical="top"/>
    </xf>
    <xf numFmtId="0" fontId="12" fillId="4" borderId="0" xfId="11" applyFont="1" applyFill="1" applyAlignment="1">
      <alignment vertical="top"/>
    </xf>
    <xf numFmtId="0" fontId="29" fillId="0" borderId="0" xfId="11" applyFont="1" applyAlignment="1">
      <alignment vertical="top"/>
    </xf>
    <xf numFmtId="0" fontId="28" fillId="0" borderId="0" xfId="11" applyFont="1" applyAlignment="1">
      <alignment vertical="top"/>
    </xf>
    <xf numFmtId="0" fontId="12" fillId="4" borderId="16" xfId="11" applyFont="1" applyFill="1" applyBorder="1" applyAlignment="1">
      <alignment vertical="center"/>
    </xf>
    <xf numFmtId="0" fontId="28" fillId="4" borderId="17" xfId="11" applyFont="1" applyFill="1" applyBorder="1" applyAlignment="1">
      <alignment vertical="top"/>
    </xf>
    <xf numFmtId="0" fontId="12" fillId="4" borderId="17" xfId="11" applyFont="1" applyFill="1" applyBorder="1" applyAlignment="1">
      <alignment vertical="top"/>
    </xf>
    <xf numFmtId="0" fontId="28" fillId="4" borderId="18" xfId="11" applyFont="1" applyFill="1" applyBorder="1" applyAlignment="1">
      <alignment vertical="top"/>
    </xf>
    <xf numFmtId="0" fontId="28" fillId="4" borderId="0" xfId="11" applyFont="1" applyFill="1"/>
    <xf numFmtId="0" fontId="12" fillId="4" borderId="0" xfId="11" applyFont="1" applyFill="1"/>
    <xf numFmtId="0" fontId="39" fillId="10" borderId="16" xfId="0" applyFont="1" applyFill="1" applyBorder="1" applyAlignment="1">
      <alignment vertical="center"/>
    </xf>
    <xf numFmtId="0" fontId="39" fillId="10" borderId="17" xfId="0" applyFont="1" applyFill="1" applyBorder="1"/>
    <xf numFmtId="0" fontId="40" fillId="10" borderId="17" xfId="0" applyFont="1" applyFill="1" applyBorder="1"/>
    <xf numFmtId="0" fontId="29" fillId="10" borderId="17" xfId="0" applyFont="1" applyFill="1" applyBorder="1"/>
    <xf numFmtId="0" fontId="29" fillId="10" borderId="18" xfId="0" applyFont="1" applyFill="1" applyBorder="1"/>
    <xf numFmtId="0" fontId="39" fillId="4" borderId="0" xfId="11" applyFont="1" applyFill="1" applyAlignment="1">
      <alignment vertical="center"/>
    </xf>
    <xf numFmtId="0" fontId="40" fillId="4" borderId="0" xfId="11" applyFont="1" applyFill="1" applyAlignment="1">
      <alignment vertical="top"/>
    </xf>
    <xf numFmtId="0" fontId="29" fillId="10" borderId="0" xfId="11" applyFont="1" applyFill="1" applyAlignment="1">
      <alignment vertical="center"/>
    </xf>
    <xf numFmtId="0" fontId="29" fillId="0" borderId="0" xfId="11" applyFont="1" applyAlignment="1">
      <alignment vertical="center"/>
    </xf>
    <xf numFmtId="0" fontId="28" fillId="4" borderId="0" xfId="11" applyFont="1" applyFill="1" applyAlignment="1">
      <alignment vertical="center"/>
    </xf>
    <xf numFmtId="0" fontId="28" fillId="0" borderId="0" xfId="11" applyFont="1" applyAlignment="1">
      <alignment vertical="center"/>
    </xf>
    <xf numFmtId="0" fontId="29" fillId="0" borderId="0" xfId="11" applyFont="1"/>
    <xf numFmtId="0" fontId="40" fillId="10" borderId="0" xfId="11" applyFont="1" applyFill="1"/>
    <xf numFmtId="0" fontId="40" fillId="0" borderId="0" xfId="11" applyFont="1"/>
    <xf numFmtId="0" fontId="29" fillId="10" borderId="0" xfId="11" applyFont="1" applyFill="1"/>
    <xf numFmtId="0" fontId="27" fillId="7" borderId="0" xfId="11" applyFont="1" applyFill="1" applyAlignment="1">
      <alignment horizontal="left"/>
    </xf>
    <xf numFmtId="0" fontId="12" fillId="4" borderId="0" xfId="11" applyFont="1" applyFill="1" applyAlignment="1">
      <alignment horizontal="left" vertical="center"/>
    </xf>
    <xf numFmtId="0" fontId="36" fillId="7" borderId="0" xfId="0" applyFont="1" applyFill="1" applyAlignment="1">
      <alignment horizontal="left"/>
    </xf>
    <xf numFmtId="0" fontId="36" fillId="0" borderId="0" xfId="0" applyFont="1" applyAlignment="1">
      <alignment horizontal="left"/>
    </xf>
    <xf numFmtId="0" fontId="15" fillId="7" borderId="0" xfId="0" applyFont="1" applyFill="1" applyAlignment="1">
      <alignment horizontal="left"/>
    </xf>
    <xf numFmtId="0" fontId="15" fillId="7" borderId="0" xfId="11" applyFont="1" applyFill="1" applyAlignment="1">
      <alignment horizontal="left" vertical="top"/>
    </xf>
    <xf numFmtId="0" fontId="39" fillId="10" borderId="0" xfId="11" applyFont="1" applyFill="1" applyAlignment="1">
      <alignment horizontal="left" vertical="top"/>
    </xf>
    <xf numFmtId="0" fontId="39" fillId="4" borderId="0" xfId="11" applyFont="1" applyFill="1" applyAlignment="1">
      <alignment horizontal="left" vertical="center"/>
    </xf>
    <xf numFmtId="0" fontId="0" fillId="0" borderId="0" xfId="0" applyAlignment="1">
      <alignment horizontal="left" vertical="top"/>
    </xf>
    <xf numFmtId="0" fontId="29" fillId="0" borderId="0" xfId="0" applyFont="1" applyAlignment="1">
      <alignment vertical="top"/>
    </xf>
    <xf numFmtId="165" fontId="15" fillId="0" borderId="0" xfId="0" applyNumberFormat="1" applyFont="1" applyAlignment="1">
      <alignment wrapText="1"/>
    </xf>
    <xf numFmtId="165" fontId="15" fillId="0" borderId="0" xfId="0" applyNumberFormat="1" applyFont="1" applyAlignment="1">
      <alignment horizontal="left" vertical="top" wrapText="1"/>
    </xf>
    <xf numFmtId="0" fontId="0" fillId="0" borderId="0" xfId="0" applyAlignment="1">
      <alignment horizontal="left" vertical="top" wrapText="1"/>
    </xf>
    <xf numFmtId="0" fontId="39" fillId="10" borderId="8" xfId="11" applyFont="1" applyFill="1" applyBorder="1" applyAlignment="1">
      <alignment horizontal="left" vertical="top"/>
    </xf>
    <xf numFmtId="0" fontId="29" fillId="10" borderId="8" xfId="11" applyFont="1" applyFill="1" applyBorder="1"/>
    <xf numFmtId="0" fontId="29" fillId="10" borderId="9" xfId="11" applyFont="1" applyFill="1" applyBorder="1"/>
    <xf numFmtId="0" fontId="29" fillId="3" borderId="0" xfId="13" applyFont="1" applyFill="1"/>
    <xf numFmtId="0" fontId="29" fillId="0" borderId="0" xfId="13" applyFont="1"/>
    <xf numFmtId="0" fontId="29" fillId="10" borderId="5" xfId="13" applyFont="1" applyFill="1" applyBorder="1"/>
    <xf numFmtId="171" fontId="29" fillId="10" borderId="6" xfId="13" applyNumberFormat="1" applyFont="1" applyFill="1" applyBorder="1" applyAlignment="1">
      <alignment horizontal="center"/>
    </xf>
    <xf numFmtId="0" fontId="15" fillId="0" borderId="1" xfId="0" applyFont="1" applyBorder="1" applyAlignment="1" applyProtection="1">
      <alignment horizontal="left" vertical="top" wrapText="1"/>
      <protection locked="0"/>
    </xf>
    <xf numFmtId="49" fontId="15" fillId="0" borderId="1" xfId="0" applyNumberFormat="1" applyFont="1" applyBorder="1" applyAlignment="1">
      <alignment horizontal="left" vertical="top" wrapText="1"/>
    </xf>
    <xf numFmtId="165" fontId="15" fillId="0" borderId="1" xfId="0" applyNumberFormat="1" applyFont="1" applyBorder="1" applyAlignment="1">
      <alignment horizontal="left" vertical="top" wrapText="1"/>
    </xf>
    <xf numFmtId="42" fontId="15" fillId="0" borderId="1" xfId="0" applyNumberFormat="1" applyFont="1" applyBorder="1" applyAlignment="1">
      <alignment horizontal="left" vertical="top" wrapText="1"/>
    </xf>
    <xf numFmtId="0" fontId="14" fillId="12" borderId="1" xfId="0" applyFont="1" applyFill="1" applyBorder="1" applyAlignment="1">
      <alignment horizontal="left" vertical="top" wrapText="1"/>
    </xf>
    <xf numFmtId="0" fontId="41" fillId="0" borderId="0" xfId="0" applyFont="1" applyProtection="1">
      <protection locked="0"/>
    </xf>
    <xf numFmtId="0" fontId="15" fillId="0" borderId="0" xfId="0" applyFont="1" applyProtection="1">
      <protection locked="0"/>
    </xf>
    <xf numFmtId="0" fontId="42" fillId="0" borderId="0" xfId="0" applyFont="1" applyAlignment="1">
      <alignment wrapText="1"/>
    </xf>
    <xf numFmtId="0" fontId="15" fillId="0" borderId="0" xfId="11" applyFont="1" applyAlignment="1">
      <alignment wrapText="1"/>
    </xf>
    <xf numFmtId="0" fontId="14" fillId="0" borderId="0" xfId="11" applyFont="1" applyAlignment="1">
      <alignment vertical="top"/>
    </xf>
    <xf numFmtId="0" fontId="11" fillId="3" borderId="0" xfId="13" applyFont="1" applyFill="1"/>
    <xf numFmtId="0" fontId="11" fillId="0" borderId="0" xfId="13" applyFont="1"/>
    <xf numFmtId="0" fontId="14" fillId="0" borderId="2" xfId="13" applyFont="1" applyBorder="1" applyAlignment="1">
      <alignment vertical="top" wrapText="1"/>
    </xf>
    <xf numFmtId="0" fontId="14" fillId="0" borderId="0" xfId="13" applyFont="1" applyAlignment="1">
      <alignment vertical="top" wrapText="1"/>
    </xf>
    <xf numFmtId="0" fontId="35" fillId="7" borderId="0" xfId="11" applyFont="1" applyFill="1"/>
    <xf numFmtId="0" fontId="16" fillId="7" borderId="0" xfId="11" applyFont="1" applyFill="1" applyAlignment="1">
      <alignment vertical="top"/>
    </xf>
    <xf numFmtId="0" fontId="43" fillId="4" borderId="0" xfId="0" applyFont="1" applyFill="1" applyAlignment="1">
      <alignment horizontal="left"/>
    </xf>
    <xf numFmtId="0" fontId="44" fillId="4" borderId="0" xfId="0" applyFont="1" applyFill="1" applyAlignment="1">
      <alignment horizontal="left"/>
    </xf>
    <xf numFmtId="0" fontId="15" fillId="7" borderId="0" xfId="0" applyFont="1" applyFill="1" applyAlignment="1">
      <alignment vertical="top"/>
    </xf>
    <xf numFmtId="173" fontId="15" fillId="0" borderId="0" xfId="8" applyNumberFormat="1" applyFont="1" applyFill="1" applyBorder="1" applyAlignment="1" applyProtection="1">
      <alignment horizontal="center" vertical="top"/>
    </xf>
    <xf numFmtId="0" fontId="35"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center" indent="4"/>
    </xf>
    <xf numFmtId="0" fontId="15" fillId="0" borderId="0" xfId="0" applyFont="1" applyAlignment="1">
      <alignment horizontal="left" vertical="center" indent="1"/>
    </xf>
    <xf numFmtId="0" fontId="13" fillId="4" borderId="30" xfId="0" applyFont="1" applyFill="1" applyBorder="1" applyAlignment="1">
      <alignment horizontal="left"/>
    </xf>
    <xf numFmtId="0" fontId="17" fillId="4" borderId="25" xfId="0" applyFont="1" applyFill="1" applyBorder="1" applyAlignment="1">
      <alignment horizontal="left"/>
    </xf>
    <xf numFmtId="0" fontId="25" fillId="4" borderId="25" xfId="0" applyFont="1" applyFill="1" applyBorder="1" applyAlignment="1">
      <alignment horizontal="left"/>
    </xf>
    <xf numFmtId="0" fontId="26" fillId="4" borderId="25" xfId="0" applyFont="1" applyFill="1" applyBorder="1" applyAlignment="1">
      <alignment horizontal="left"/>
    </xf>
    <xf numFmtId="0" fontId="17" fillId="4" borderId="26" xfId="0" applyFont="1" applyFill="1" applyBorder="1" applyAlignment="1">
      <alignment horizontal="left"/>
    </xf>
    <xf numFmtId="0" fontId="31" fillId="0" borderId="0" xfId="0" applyFont="1" applyAlignment="1">
      <alignment horizontal="left"/>
    </xf>
    <xf numFmtId="0" fontId="31" fillId="0" borderId="0" xfId="11" applyFont="1" applyAlignment="1">
      <alignment vertical="top"/>
    </xf>
    <xf numFmtId="0" fontId="39" fillId="4" borderId="0" xfId="0" applyFont="1" applyFill="1" applyAlignment="1">
      <alignment horizontal="left"/>
    </xf>
    <xf numFmtId="0" fontId="46" fillId="0" borderId="0" xfId="13" applyFont="1"/>
    <xf numFmtId="0" fontId="46" fillId="0" borderId="0" xfId="0" applyFont="1"/>
    <xf numFmtId="0" fontId="23" fillId="14" borderId="1" xfId="0" applyFont="1" applyFill="1" applyBorder="1" applyAlignment="1">
      <alignment horizontal="left" vertical="top" wrapText="1"/>
    </xf>
    <xf numFmtId="0" fontId="14" fillId="15" borderId="1" xfId="0" applyFont="1" applyFill="1" applyBorder="1" applyAlignment="1">
      <alignment horizontal="left" vertical="top" wrapText="1"/>
    </xf>
    <xf numFmtId="0" fontId="23" fillId="15" borderId="1" xfId="0" applyFont="1" applyFill="1" applyBorder="1" applyAlignment="1">
      <alignment horizontal="left" vertical="top" wrapText="1"/>
    </xf>
    <xf numFmtId="0" fontId="23" fillId="16" borderId="1" xfId="0" applyFont="1" applyFill="1" applyBorder="1" applyAlignment="1">
      <alignment horizontal="left" vertical="top" wrapText="1"/>
    </xf>
    <xf numFmtId="0" fontId="14" fillId="0" borderId="0" xfId="0" applyFont="1" applyAlignment="1">
      <alignment horizontal="left" vertical="top" wrapText="1"/>
    </xf>
    <xf numFmtId="0" fontId="14" fillId="0" borderId="0" xfId="0" applyFont="1" applyAlignment="1">
      <alignment horizontal="left" vertical="top"/>
    </xf>
    <xf numFmtId="177" fontId="2" fillId="0" borderId="0" xfId="16">
      <alignment vertical="top"/>
    </xf>
    <xf numFmtId="177" fontId="51" fillId="0" borderId="0" xfId="16" applyFont="1">
      <alignment vertical="top"/>
    </xf>
    <xf numFmtId="177" fontId="2" fillId="0" borderId="0" xfId="16" applyFill="1" applyBorder="1">
      <alignment vertical="top"/>
    </xf>
    <xf numFmtId="177" fontId="55" fillId="0" borderId="0" xfId="16" applyFont="1" applyFill="1" applyBorder="1">
      <alignment vertical="top"/>
    </xf>
    <xf numFmtId="0" fontId="14" fillId="0" borderId="8" xfId="13" applyFont="1" applyBorder="1" applyAlignment="1">
      <alignment vertical="top" wrapText="1"/>
    </xf>
    <xf numFmtId="0" fontId="14" fillId="0" borderId="9" xfId="13" applyFont="1" applyBorder="1" applyAlignment="1">
      <alignment vertical="top" wrapText="1"/>
    </xf>
    <xf numFmtId="0" fontId="35" fillId="0" borderId="0" xfId="13" applyFont="1" applyAlignment="1">
      <alignment vertical="center"/>
    </xf>
    <xf numFmtId="0" fontId="35" fillId="0" borderId="0" xfId="13" applyFont="1" applyAlignment="1">
      <alignment horizontal="left" vertical="top"/>
    </xf>
    <xf numFmtId="169" fontId="15" fillId="0" borderId="15" xfId="13" applyNumberFormat="1" applyFont="1" applyBorder="1"/>
    <xf numFmtId="177" fontId="50" fillId="0" borderId="0" xfId="16" applyFont="1" applyFill="1" applyBorder="1">
      <alignment vertical="top"/>
    </xf>
    <xf numFmtId="0" fontId="14" fillId="0" borderId="12" xfId="13" applyFont="1" applyBorder="1"/>
    <xf numFmtId="0" fontId="49" fillId="0" borderId="8" xfId="0" applyFont="1" applyBorder="1" applyAlignment="1">
      <alignment vertical="top"/>
    </xf>
    <xf numFmtId="0" fontId="49" fillId="0" borderId="9" xfId="0" applyFont="1" applyBorder="1" applyAlignment="1">
      <alignment vertical="top"/>
    </xf>
    <xf numFmtId="0" fontId="35" fillId="0" borderId="0" xfId="0" applyFont="1" applyAlignment="1">
      <alignment vertical="top"/>
    </xf>
    <xf numFmtId="0" fontId="14" fillId="0" borderId="0" xfId="0" applyFont="1" applyAlignment="1">
      <alignment horizontal="center"/>
    </xf>
    <xf numFmtId="49" fontId="15" fillId="20" borderId="2" xfId="13" applyNumberFormat="1" applyFont="1" applyFill="1" applyBorder="1"/>
    <xf numFmtId="49" fontId="15" fillId="20" borderId="9" xfId="13" applyNumberFormat="1" applyFont="1" applyFill="1" applyBorder="1"/>
    <xf numFmtId="0" fontId="14" fillId="20" borderId="20" xfId="0" applyFont="1" applyFill="1" applyBorder="1" applyAlignment="1">
      <alignment horizontal="right"/>
    </xf>
    <xf numFmtId="0" fontId="14" fillId="20" borderId="21" xfId="0" applyFont="1" applyFill="1" applyBorder="1" applyAlignment="1">
      <alignment horizontal="right"/>
    </xf>
    <xf numFmtId="175" fontId="15" fillId="20" borderId="2" xfId="13" applyNumberFormat="1" applyFont="1" applyFill="1" applyBorder="1" applyAlignment="1">
      <alignment vertical="center"/>
    </xf>
    <xf numFmtId="0" fontId="15" fillId="20" borderId="9" xfId="13" applyFont="1" applyFill="1" applyBorder="1" applyAlignment="1">
      <alignment vertical="center"/>
    </xf>
    <xf numFmtId="167" fontId="15" fillId="20" borderId="31" xfId="0" applyNumberFormat="1" applyFont="1" applyFill="1" applyBorder="1" applyAlignment="1">
      <alignment vertical="top"/>
    </xf>
    <xf numFmtId="173" fontId="22" fillId="20" borderId="1" xfId="1" applyNumberFormat="1" applyFont="1" applyFill="1" applyBorder="1" applyAlignment="1" applyProtection="1">
      <alignment vertical="top"/>
    </xf>
    <xf numFmtId="0" fontId="14" fillId="20" borderId="13" xfId="0" applyFont="1" applyFill="1" applyBorder="1" applyAlignment="1">
      <alignment vertical="top"/>
    </xf>
    <xf numFmtId="0" fontId="23" fillId="20" borderId="1" xfId="0" applyFont="1" applyFill="1" applyBorder="1" applyAlignment="1">
      <alignment horizontal="left" vertical="top" wrapText="1"/>
    </xf>
    <xf numFmtId="49" fontId="15" fillId="21" borderId="2" xfId="13" applyNumberFormat="1" applyFont="1" applyFill="1" applyBorder="1" applyProtection="1">
      <protection locked="0"/>
    </xf>
    <xf numFmtId="49" fontId="15" fillId="21" borderId="9" xfId="13" applyNumberFormat="1" applyFont="1" applyFill="1" applyBorder="1"/>
    <xf numFmtId="14" fontId="15" fillId="21" borderId="1" xfId="13" applyNumberFormat="1" applyFont="1" applyFill="1" applyBorder="1" applyAlignment="1" applyProtection="1">
      <alignment horizontal="center" vertical="center"/>
      <protection locked="0"/>
    </xf>
    <xf numFmtId="49" fontId="15" fillId="21" borderId="1" xfId="13" applyNumberFormat="1" applyFont="1" applyFill="1" applyBorder="1" applyProtection="1">
      <protection locked="0"/>
    </xf>
    <xf numFmtId="173" fontId="22" fillId="21" borderId="1" xfId="1" applyNumberFormat="1" applyFont="1" applyFill="1" applyBorder="1" applyAlignment="1" applyProtection="1">
      <alignment vertical="top"/>
      <protection locked="0"/>
    </xf>
    <xf numFmtId="0" fontId="45" fillId="21" borderId="15" xfId="0" applyFont="1" applyFill="1" applyBorder="1" applyProtection="1">
      <protection locked="0"/>
    </xf>
    <xf numFmtId="0" fontId="15" fillId="21" borderId="40" xfId="0" applyFont="1" applyFill="1" applyBorder="1" applyAlignment="1" applyProtection="1">
      <alignment vertical="top"/>
      <protection locked="0"/>
    </xf>
    <xf numFmtId="0" fontId="15" fillId="21" borderId="5" xfId="0" applyFont="1" applyFill="1" applyBorder="1" applyAlignment="1" applyProtection="1">
      <alignment vertical="top"/>
      <protection locked="0"/>
    </xf>
    <xf numFmtId="0" fontId="15" fillId="21" borderId="41" xfId="0" applyFont="1" applyFill="1" applyBorder="1" applyAlignment="1" applyProtection="1">
      <alignment vertical="top"/>
      <protection locked="0"/>
    </xf>
    <xf numFmtId="0" fontId="15" fillId="21" borderId="3" xfId="0" applyFont="1" applyFill="1" applyBorder="1" applyAlignment="1" applyProtection="1">
      <alignment vertical="top"/>
      <protection locked="0"/>
    </xf>
    <xf numFmtId="0" fontId="15" fillId="21" borderId="0" xfId="0" applyFont="1" applyFill="1" applyAlignment="1" applyProtection="1">
      <alignment vertical="top"/>
      <protection locked="0"/>
    </xf>
    <xf numFmtId="0" fontId="15" fillId="21" borderId="27" xfId="0" applyFont="1" applyFill="1" applyBorder="1" applyAlignment="1" applyProtection="1">
      <alignment vertical="top"/>
      <protection locked="0"/>
    </xf>
    <xf numFmtId="0" fontId="15" fillId="21" borderId="13" xfId="0" applyFont="1" applyFill="1" applyBorder="1" applyAlignment="1" applyProtection="1">
      <alignment vertical="top"/>
      <protection locked="0"/>
    </xf>
    <xf numFmtId="0" fontId="15" fillId="21" borderId="28" xfId="0" applyFont="1" applyFill="1" applyBorder="1" applyAlignment="1" applyProtection="1">
      <alignment vertical="top"/>
      <protection locked="0"/>
    </xf>
    <xf numFmtId="0" fontId="15" fillId="21" borderId="29" xfId="0" applyFont="1" applyFill="1" applyBorder="1" applyAlignment="1" applyProtection="1">
      <alignment vertical="top"/>
      <protection locked="0"/>
    </xf>
    <xf numFmtId="0" fontId="14" fillId="21" borderId="1" xfId="0" applyFont="1" applyFill="1" applyBorder="1" applyAlignment="1">
      <alignment horizontal="left" vertical="top" wrapText="1"/>
    </xf>
    <xf numFmtId="0" fontId="14" fillId="24" borderId="1" xfId="13" applyFont="1" applyFill="1" applyBorder="1"/>
    <xf numFmtId="0" fontId="15" fillId="24" borderId="1" xfId="13" applyFont="1" applyFill="1" applyBorder="1" applyAlignment="1">
      <alignment horizontal="center"/>
    </xf>
    <xf numFmtId="0" fontId="14" fillId="24" borderId="1" xfId="13" applyFont="1" applyFill="1" applyBorder="1" applyAlignment="1">
      <alignment horizontal="center" vertical="top"/>
    </xf>
    <xf numFmtId="0" fontId="31" fillId="24" borderId="0" xfId="0" applyFont="1" applyFill="1" applyAlignment="1">
      <alignment vertical="top"/>
    </xf>
    <xf numFmtId="0" fontId="15" fillId="24" borderId="0" xfId="0" applyFont="1" applyFill="1" applyAlignment="1">
      <alignment vertical="top"/>
    </xf>
    <xf numFmtId="0" fontId="15" fillId="24" borderId="25" xfId="13" applyFont="1" applyFill="1" applyBorder="1" applyAlignment="1">
      <alignment vertical="top"/>
    </xf>
    <xf numFmtId="0" fontId="15" fillId="24" borderId="26" xfId="13" applyFont="1" applyFill="1" applyBorder="1" applyAlignment="1">
      <alignment vertical="top"/>
    </xf>
    <xf numFmtId="0" fontId="14" fillId="24" borderId="0" xfId="0" applyFont="1" applyFill="1" applyAlignment="1">
      <alignment vertical="top"/>
    </xf>
    <xf numFmtId="0" fontId="14" fillId="24" borderId="1" xfId="0" applyFont="1" applyFill="1" applyBorder="1" applyAlignment="1">
      <alignment horizontal="right" vertical="top"/>
    </xf>
    <xf numFmtId="0" fontId="15" fillId="24" borderId="0" xfId="13" applyFont="1" applyFill="1" applyAlignment="1">
      <alignment vertical="top"/>
    </xf>
    <xf numFmtId="0" fontId="15" fillId="24" borderId="27" xfId="13" applyFont="1" applyFill="1" applyBorder="1" applyAlignment="1">
      <alignment vertical="top"/>
    </xf>
    <xf numFmtId="0" fontId="14" fillId="24" borderId="0" xfId="13" applyFont="1" applyFill="1" applyAlignment="1">
      <alignment horizontal="right" vertical="top"/>
    </xf>
    <xf numFmtId="0" fontId="14" fillId="24" borderId="1" xfId="13" applyFont="1" applyFill="1" applyBorder="1" applyAlignment="1">
      <alignment horizontal="right" vertical="top"/>
    </xf>
    <xf numFmtId="167" fontId="14" fillId="24" borderId="28" xfId="0" applyNumberFormat="1" applyFont="1" applyFill="1" applyBorder="1" applyAlignment="1">
      <alignment vertical="top"/>
    </xf>
    <xf numFmtId="0" fontId="15" fillId="24" borderId="29" xfId="13" applyFont="1" applyFill="1" applyBorder="1" applyAlignment="1">
      <alignment vertical="top"/>
    </xf>
    <xf numFmtId="0" fontId="14" fillId="24" borderId="16" xfId="0" applyFont="1" applyFill="1" applyBorder="1"/>
    <xf numFmtId="0" fontId="14" fillId="24" borderId="17" xfId="0" applyFont="1" applyFill="1" applyBorder="1" applyAlignment="1">
      <alignment horizontal="center" wrapText="1"/>
    </xf>
    <xf numFmtId="0" fontId="14" fillId="24" borderId="18" xfId="0" applyFont="1" applyFill="1" applyBorder="1" applyAlignment="1">
      <alignment horizontal="center" wrapText="1"/>
    </xf>
    <xf numFmtId="0" fontId="14" fillId="24" borderId="1" xfId="0" applyFont="1" applyFill="1" applyBorder="1" applyAlignment="1">
      <alignment horizontal="left"/>
    </xf>
    <xf numFmtId="0" fontId="14" fillId="24" borderId="1" xfId="0" applyFont="1" applyFill="1" applyBorder="1"/>
    <xf numFmtId="14" fontId="14" fillId="24" borderId="1" xfId="0" applyNumberFormat="1" applyFont="1" applyFill="1" applyBorder="1" applyAlignment="1">
      <alignment horizontal="right" wrapText="1"/>
    </xf>
    <xf numFmtId="14" fontId="15" fillId="24" borderId="1" xfId="0" applyNumberFormat="1" applyFont="1" applyFill="1" applyBorder="1" applyAlignment="1">
      <alignment horizontal="center" vertical="center"/>
    </xf>
    <xf numFmtId="0" fontId="14" fillId="24" borderId="34" xfId="0" applyFont="1" applyFill="1" applyBorder="1" applyAlignment="1">
      <alignment vertical="top" wrapText="1"/>
    </xf>
    <xf numFmtId="0" fontId="14" fillId="24" borderId="35" xfId="0" applyFont="1" applyFill="1" applyBorder="1" applyAlignment="1">
      <alignment vertical="top" wrapText="1"/>
    </xf>
    <xf numFmtId="0" fontId="15" fillId="24" borderId="30" xfId="0" applyFont="1" applyFill="1" applyBorder="1"/>
    <xf numFmtId="0" fontId="14" fillId="24" borderId="25" xfId="0" applyFont="1" applyFill="1" applyBorder="1" applyAlignment="1">
      <alignment horizontal="center"/>
    </xf>
    <xf numFmtId="0" fontId="14" fillId="24" borderId="26" xfId="0" applyFont="1" applyFill="1" applyBorder="1" applyAlignment="1">
      <alignment horizontal="center"/>
    </xf>
    <xf numFmtId="0" fontId="15" fillId="24" borderId="3" xfId="0" applyFont="1" applyFill="1" applyBorder="1"/>
    <xf numFmtId="0" fontId="14" fillId="24" borderId="27" xfId="0" applyFont="1" applyFill="1" applyBorder="1" applyAlignment="1">
      <alignment horizontal="center"/>
    </xf>
    <xf numFmtId="0" fontId="14" fillId="24" borderId="28" xfId="0" applyFont="1" applyFill="1" applyBorder="1" applyAlignment="1">
      <alignment horizontal="center"/>
    </xf>
    <xf numFmtId="0" fontId="15" fillId="24" borderId="29" xfId="0" applyFont="1" applyFill="1" applyBorder="1"/>
    <xf numFmtId="0" fontId="15" fillId="24" borderId="1" xfId="0" applyFont="1" applyFill="1" applyBorder="1" applyAlignment="1">
      <alignment horizontal="left" wrapText="1"/>
    </xf>
    <xf numFmtId="0" fontId="31" fillId="24" borderId="30" xfId="0" applyFont="1" applyFill="1" applyBorder="1"/>
    <xf numFmtId="0" fontId="15" fillId="24" borderId="25" xfId="0" applyFont="1" applyFill="1" applyBorder="1"/>
    <xf numFmtId="0" fontId="15" fillId="24" borderId="26" xfId="0" applyFont="1" applyFill="1" applyBorder="1"/>
    <xf numFmtId="165" fontId="15" fillId="24" borderId="0" xfId="0" applyNumberFormat="1" applyFont="1" applyFill="1"/>
    <xf numFmtId="165" fontId="15" fillId="24" borderId="27" xfId="0" applyNumberFormat="1" applyFont="1" applyFill="1" applyBorder="1"/>
    <xf numFmtId="0" fontId="15" fillId="24" borderId="28" xfId="0" applyFont="1" applyFill="1" applyBorder="1"/>
    <xf numFmtId="0" fontId="45" fillId="0" borderId="0" xfId="0" applyFont="1" applyAlignment="1">
      <alignment vertical="center"/>
    </xf>
    <xf numFmtId="0" fontId="36" fillId="0" borderId="0" xfId="0" applyFont="1" applyAlignment="1">
      <alignment vertical="center"/>
    </xf>
    <xf numFmtId="0" fontId="14" fillId="7" borderId="0" xfId="0" applyFont="1" applyFill="1" applyAlignment="1">
      <alignment vertical="top"/>
    </xf>
    <xf numFmtId="0" fontId="15" fillId="7" borderId="0" xfId="11" quotePrefix="1" applyFont="1" applyFill="1"/>
    <xf numFmtId="0" fontId="35" fillId="0" borderId="0" xfId="11" applyFont="1"/>
    <xf numFmtId="0" fontId="47" fillId="0" borderId="0" xfId="0" applyFont="1" applyAlignment="1">
      <alignment wrapText="1"/>
    </xf>
    <xf numFmtId="0" fontId="15" fillId="24" borderId="13" xfId="0" applyFont="1" applyFill="1" applyBorder="1"/>
    <xf numFmtId="0" fontId="16" fillId="7" borderId="0" xfId="11" applyFont="1" applyFill="1" applyAlignment="1">
      <alignment horizontal="left"/>
    </xf>
    <xf numFmtId="0" fontId="14" fillId="24" borderId="29" xfId="0" applyFont="1" applyFill="1" applyBorder="1" applyAlignment="1">
      <alignment horizontal="center"/>
    </xf>
    <xf numFmtId="168" fontId="15" fillId="0" borderId="0" xfId="5" applyNumberFormat="1" applyFont="1" applyFill="1" applyBorder="1" applyAlignment="1" applyProtection="1">
      <alignment horizontal="center"/>
    </xf>
    <xf numFmtId="0" fontId="14" fillId="0" borderId="0" xfId="0" applyFont="1" applyAlignment="1">
      <alignment horizontal="center" wrapText="1"/>
    </xf>
    <xf numFmtId="177" fontId="51" fillId="0" borderId="0" xfId="16" applyFont="1" applyFill="1" applyBorder="1">
      <alignment vertical="top"/>
    </xf>
    <xf numFmtId="0" fontId="14" fillId="24" borderId="16" xfId="0" applyFont="1" applyFill="1" applyBorder="1" applyAlignment="1">
      <alignment horizontal="center" wrapText="1"/>
    </xf>
    <xf numFmtId="0" fontId="14" fillId="24" borderId="30" xfId="0" applyFont="1" applyFill="1" applyBorder="1" applyAlignment="1">
      <alignment horizontal="center"/>
    </xf>
    <xf numFmtId="0" fontId="14" fillId="24" borderId="3" xfId="0" applyFont="1" applyFill="1" applyBorder="1" applyAlignment="1">
      <alignment horizontal="center"/>
    </xf>
    <xf numFmtId="0" fontId="14" fillId="24" borderId="13" xfId="0" applyFont="1" applyFill="1" applyBorder="1" applyAlignment="1">
      <alignment horizontal="center"/>
    </xf>
    <xf numFmtId="177" fontId="54" fillId="0" borderId="0" xfId="16" applyFont="1" applyFill="1" applyBorder="1">
      <alignment vertical="top"/>
    </xf>
    <xf numFmtId="181" fontId="0" fillId="0" borderId="0" xfId="20" applyNumberFormat="1" applyFont="1" applyFill="1" applyBorder="1" applyAlignment="1">
      <alignment vertical="top"/>
    </xf>
    <xf numFmtId="177" fontId="53" fillId="0" borderId="0" xfId="16" applyFont="1" applyFill="1" applyBorder="1">
      <alignment vertical="top"/>
    </xf>
    <xf numFmtId="181" fontId="0" fillId="0" borderId="0" xfId="20" quotePrefix="1" applyNumberFormat="1" applyFont="1" applyFill="1" applyBorder="1" applyAlignment="1">
      <alignment horizontal="right" vertical="top"/>
    </xf>
    <xf numFmtId="177" fontId="2" fillId="0" borderId="0" xfId="16" quotePrefix="1" applyFill="1" applyBorder="1" applyAlignment="1">
      <alignment horizontal="right" vertical="top"/>
    </xf>
    <xf numFmtId="181" fontId="51" fillId="0" borderId="0" xfId="20" applyNumberFormat="1" applyFont="1" applyFill="1" applyBorder="1" applyAlignment="1">
      <alignment vertical="top"/>
    </xf>
    <xf numFmtId="181" fontId="53" fillId="0" borderId="0" xfId="20" applyNumberFormat="1" applyFont="1" applyFill="1" applyBorder="1" applyAlignment="1">
      <alignment vertical="top"/>
    </xf>
    <xf numFmtId="173" fontId="22" fillId="20" borderId="19" xfId="1" applyNumberFormat="1" applyFont="1" applyFill="1" applyBorder="1" applyAlignment="1" applyProtection="1">
      <alignment vertical="top"/>
    </xf>
    <xf numFmtId="0" fontId="57" fillId="4" borderId="0" xfId="13" applyFont="1" applyFill="1"/>
    <xf numFmtId="0" fontId="58" fillId="10" borderId="0" xfId="11" applyFont="1" applyFill="1" applyAlignment="1">
      <alignment horizontal="left" vertical="center"/>
    </xf>
    <xf numFmtId="0" fontId="12" fillId="4" borderId="16" xfId="11" applyFont="1" applyFill="1" applyBorder="1" applyAlignment="1">
      <alignment horizontal="left" vertical="center"/>
    </xf>
    <xf numFmtId="0" fontId="28" fillId="4" borderId="17" xfId="11" applyFont="1" applyFill="1" applyBorder="1" applyAlignment="1">
      <alignment vertical="center"/>
    </xf>
    <xf numFmtId="0" fontId="12" fillId="4" borderId="17" xfId="11" applyFont="1" applyFill="1" applyBorder="1" applyAlignment="1">
      <alignment vertical="center"/>
    </xf>
    <xf numFmtId="0" fontId="28" fillId="4" borderId="18" xfId="11" applyFont="1" applyFill="1" applyBorder="1" applyAlignment="1">
      <alignment vertical="center"/>
    </xf>
    <xf numFmtId="0" fontId="37" fillId="7" borderId="0" xfId="11" applyFont="1" applyFill="1"/>
    <xf numFmtId="0" fontId="37" fillId="0" borderId="0" xfId="11" applyFont="1"/>
    <xf numFmtId="0" fontId="37" fillId="0" borderId="0" xfId="11" applyFont="1" applyAlignment="1">
      <alignment horizontal="left" vertical="top"/>
    </xf>
    <xf numFmtId="0" fontId="14" fillId="5" borderId="25" xfId="0" applyFont="1" applyFill="1" applyBorder="1" applyAlignment="1">
      <alignment horizontal="center"/>
    </xf>
    <xf numFmtId="0" fontId="14" fillId="5" borderId="26" xfId="0" applyFont="1" applyFill="1" applyBorder="1" applyAlignment="1">
      <alignment horizontal="center"/>
    </xf>
    <xf numFmtId="0" fontId="15" fillId="5" borderId="3" xfId="0" applyFont="1" applyFill="1" applyBorder="1"/>
    <xf numFmtId="0" fontId="14" fillId="5" borderId="27" xfId="0" applyFont="1" applyFill="1" applyBorder="1" applyAlignment="1">
      <alignment horizontal="center"/>
    </xf>
    <xf numFmtId="0" fontId="14" fillId="5" borderId="28" xfId="0" applyFont="1" applyFill="1" applyBorder="1" applyAlignment="1">
      <alignment horizontal="center"/>
    </xf>
    <xf numFmtId="0" fontId="14" fillId="5" borderId="29" xfId="0" applyFont="1" applyFill="1" applyBorder="1" applyAlignment="1">
      <alignment horizontal="center"/>
    </xf>
    <xf numFmtId="0" fontId="33" fillId="5" borderId="25" xfId="0" applyFont="1" applyFill="1" applyBorder="1" applyAlignment="1">
      <alignment horizontal="center"/>
    </xf>
    <xf numFmtId="0" fontId="33" fillId="5" borderId="28" xfId="0" applyFont="1" applyFill="1" applyBorder="1" applyAlignment="1">
      <alignment horizontal="center"/>
    </xf>
    <xf numFmtId="177" fontId="61" fillId="0" borderId="4" xfId="16" applyFont="1" applyFill="1" applyBorder="1" applyProtection="1">
      <alignment vertical="top"/>
    </xf>
    <xf numFmtId="177" fontId="61" fillId="0" borderId="5" xfId="16" applyFont="1" applyBorder="1" applyProtection="1">
      <alignment vertical="top"/>
    </xf>
    <xf numFmtId="177" fontId="61" fillId="0" borderId="6" xfId="16" applyFont="1" applyBorder="1" applyProtection="1">
      <alignment vertical="top"/>
    </xf>
    <xf numFmtId="177" fontId="61" fillId="0" borderId="0" xfId="16" applyFont="1" applyProtection="1">
      <alignment vertical="top"/>
    </xf>
    <xf numFmtId="177" fontId="62" fillId="0" borderId="10" xfId="16" applyFont="1" applyFill="1" applyBorder="1" applyProtection="1">
      <alignment vertical="top"/>
    </xf>
    <xf numFmtId="177" fontId="63" fillId="0" borderId="0" xfId="16" applyFont="1" applyBorder="1" applyProtection="1">
      <alignment vertical="top"/>
    </xf>
    <xf numFmtId="177" fontId="64" fillId="0" borderId="0" xfId="16" applyFont="1" applyBorder="1" applyProtection="1">
      <alignment vertical="top"/>
    </xf>
    <xf numFmtId="177" fontId="64" fillId="0" borderId="42" xfId="16" applyFont="1" applyBorder="1" applyProtection="1">
      <alignment vertical="top"/>
    </xf>
    <xf numFmtId="177" fontId="64" fillId="0" borderId="0" xfId="16" applyFont="1" applyProtection="1">
      <alignment vertical="top"/>
    </xf>
    <xf numFmtId="177" fontId="61" fillId="0" borderId="10" xfId="16" applyFont="1" applyFill="1" applyBorder="1" applyProtection="1">
      <alignment vertical="top"/>
    </xf>
    <xf numFmtId="177" fontId="65" fillId="0" borderId="0" xfId="16" applyFont="1" applyBorder="1" applyProtection="1">
      <alignment vertical="top"/>
    </xf>
    <xf numFmtId="177" fontId="61" fillId="0" borderId="0" xfId="16" applyFont="1" applyBorder="1" applyProtection="1">
      <alignment vertical="top"/>
    </xf>
    <xf numFmtId="49" fontId="61" fillId="0" borderId="0" xfId="16" applyNumberFormat="1" applyFont="1" applyBorder="1" applyAlignment="1" applyProtection="1">
      <alignment vertical="top" wrapText="1"/>
    </xf>
    <xf numFmtId="177" fontId="61" fillId="0" borderId="42" xfId="16" applyFont="1" applyBorder="1" applyProtection="1">
      <alignment vertical="top"/>
    </xf>
    <xf numFmtId="177" fontId="61" fillId="0" borderId="48" xfId="16" applyFont="1" applyBorder="1" applyProtection="1">
      <alignment vertical="top"/>
    </xf>
    <xf numFmtId="177" fontId="61" fillId="0" borderId="0" xfId="16" applyFont="1" applyFill="1" applyProtection="1">
      <alignment vertical="top"/>
    </xf>
    <xf numFmtId="49" fontId="66" fillId="20" borderId="0" xfId="16" applyNumberFormat="1" applyFont="1" applyFill="1" applyBorder="1" applyAlignment="1" applyProtection="1">
      <alignment vertical="top" wrapText="1"/>
    </xf>
    <xf numFmtId="177" fontId="66" fillId="20" borderId="0" xfId="16" applyFont="1" applyFill="1" applyBorder="1" applyProtection="1">
      <alignment vertical="top"/>
    </xf>
    <xf numFmtId="49" fontId="61" fillId="0" borderId="0" xfId="16" applyNumberFormat="1" applyFont="1" applyAlignment="1" applyProtection="1">
      <alignment vertical="top" wrapText="1"/>
    </xf>
    <xf numFmtId="177" fontId="68" fillId="0" borderId="0" xfId="16" applyFont="1" applyProtection="1">
      <alignment vertical="top"/>
    </xf>
    <xf numFmtId="177" fontId="69" fillId="0" borderId="5" xfId="16" applyFont="1" applyBorder="1" applyProtection="1">
      <alignment vertical="top"/>
    </xf>
    <xf numFmtId="177" fontId="70" fillId="0" borderId="0" xfId="16" applyFont="1" applyBorder="1" applyProtection="1">
      <alignment vertical="top"/>
    </xf>
    <xf numFmtId="177" fontId="69" fillId="0" borderId="0" xfId="16" applyFont="1" applyBorder="1" applyProtection="1">
      <alignment vertical="top"/>
    </xf>
    <xf numFmtId="177" fontId="69" fillId="0" borderId="0" xfId="16" applyFont="1" applyProtection="1">
      <alignment vertical="top"/>
    </xf>
    <xf numFmtId="177" fontId="37" fillId="0" borderId="0" xfId="16" applyFont="1" applyProtection="1">
      <alignment vertical="top"/>
    </xf>
    <xf numFmtId="177" fontId="37" fillId="0" borderId="0" xfId="16" applyFont="1" applyBorder="1" applyProtection="1">
      <alignment vertical="top"/>
    </xf>
    <xf numFmtId="177" fontId="37" fillId="0" borderId="0" xfId="16" applyFont="1" applyFill="1" applyBorder="1" applyProtection="1">
      <alignment vertical="top"/>
    </xf>
    <xf numFmtId="177" fontId="37" fillId="0" borderId="0" xfId="16" applyFont="1" applyFill="1" applyProtection="1">
      <alignment vertical="top"/>
    </xf>
    <xf numFmtId="177" fontId="33" fillId="20" borderId="0" xfId="16" applyFont="1" applyFill="1" applyBorder="1" applyProtection="1">
      <alignment vertical="top"/>
    </xf>
    <xf numFmtId="177" fontId="37" fillId="20" borderId="0" xfId="16" applyFont="1" applyFill="1" applyBorder="1" applyProtection="1">
      <alignment vertical="top"/>
    </xf>
    <xf numFmtId="177" fontId="73" fillId="20" borderId="0" xfId="16" applyFont="1" applyFill="1" applyBorder="1" applyProtection="1">
      <alignment vertical="top"/>
    </xf>
    <xf numFmtId="1" fontId="33" fillId="24" borderId="0" xfId="16" applyNumberFormat="1" applyFont="1" applyFill="1" applyProtection="1">
      <alignment vertical="top"/>
    </xf>
    <xf numFmtId="177" fontId="60" fillId="0" borderId="0" xfId="16" applyFont="1" applyBorder="1" applyProtection="1">
      <alignment vertical="top"/>
    </xf>
    <xf numFmtId="177" fontId="74" fillId="0" borderId="0" xfId="16" applyFont="1" applyProtection="1">
      <alignment vertical="top"/>
    </xf>
    <xf numFmtId="177" fontId="33" fillId="0" borderId="0" xfId="16" applyFont="1" applyFill="1" applyProtection="1">
      <alignment vertical="top"/>
    </xf>
    <xf numFmtId="49" fontId="37" fillId="0" borderId="0" xfId="16" applyNumberFormat="1" applyFont="1" applyAlignment="1" applyProtection="1">
      <alignment vertical="top" wrapText="1"/>
    </xf>
    <xf numFmtId="177" fontId="74" fillId="0" borderId="0" xfId="16" applyFont="1" applyFill="1" applyBorder="1" applyProtection="1">
      <alignment vertical="top"/>
    </xf>
    <xf numFmtId="179" fontId="15" fillId="13" borderId="47" xfId="18" applyFont="1" applyFill="1" applyBorder="1" applyProtection="1">
      <alignment vertical="top"/>
      <protection locked="0"/>
    </xf>
    <xf numFmtId="49" fontId="33" fillId="20" borderId="0" xfId="16" applyNumberFormat="1" applyFont="1" applyFill="1" applyBorder="1" applyAlignment="1" applyProtection="1">
      <alignment vertical="top" wrapText="1"/>
    </xf>
    <xf numFmtId="179" fontId="15" fillId="24" borderId="47" xfId="18" applyFont="1" applyFill="1" applyBorder="1" applyProtection="1">
      <alignment vertical="top"/>
    </xf>
    <xf numFmtId="179" fontId="15" fillId="0" borderId="0" xfId="18" applyFont="1" applyFill="1" applyBorder="1" applyProtection="1">
      <alignment vertical="top"/>
    </xf>
    <xf numFmtId="181" fontId="15" fillId="24" borderId="47" xfId="18" applyNumberFormat="1" applyFont="1" applyFill="1" applyBorder="1" applyProtection="1">
      <alignment vertical="top"/>
    </xf>
    <xf numFmtId="2" fontId="15" fillId="24" borderId="47" xfId="18" applyNumberFormat="1" applyFont="1" applyFill="1" applyBorder="1" applyProtection="1">
      <alignment vertical="top"/>
    </xf>
    <xf numFmtId="49" fontId="76" fillId="0" borderId="0" xfId="17" applyNumberFormat="1" applyFont="1" applyBorder="1" applyAlignment="1" applyProtection="1">
      <alignment horizontal="left" vertical="top" wrapText="1"/>
    </xf>
    <xf numFmtId="49" fontId="37" fillId="0" borderId="0" xfId="16" applyNumberFormat="1" applyFont="1" applyFill="1" applyBorder="1" applyAlignment="1" applyProtection="1">
      <alignment vertical="top" wrapText="1"/>
    </xf>
    <xf numFmtId="178" fontId="37" fillId="13" borderId="47" xfId="16" applyNumberFormat="1" applyFont="1" applyFill="1" applyBorder="1" applyProtection="1">
      <alignment vertical="top"/>
      <protection locked="0"/>
    </xf>
    <xf numFmtId="177" fontId="75" fillId="0" borderId="0" xfId="16" applyFont="1" applyBorder="1" applyProtection="1">
      <alignment vertical="top"/>
    </xf>
    <xf numFmtId="177" fontId="77" fillId="0" borderId="0" xfId="16" applyFont="1" applyBorder="1" applyProtection="1">
      <alignment vertical="top"/>
    </xf>
    <xf numFmtId="177" fontId="78" fillId="0" borderId="0" xfId="16" applyFont="1" applyBorder="1" applyAlignment="1" applyProtection="1">
      <alignment horizontal="right" vertical="top"/>
    </xf>
    <xf numFmtId="178" fontId="37" fillId="24" borderId="47" xfId="16" applyNumberFormat="1" applyFont="1" applyFill="1" applyBorder="1" applyProtection="1">
      <alignment vertical="top"/>
    </xf>
    <xf numFmtId="177" fontId="37" fillId="0" borderId="0" xfId="16" applyFont="1" applyBorder="1" applyAlignment="1" applyProtection="1">
      <alignment wrapText="1"/>
    </xf>
    <xf numFmtId="177" fontId="79" fillId="0" borderId="0" xfId="16" applyFont="1" applyBorder="1" applyProtection="1">
      <alignment vertical="top"/>
    </xf>
    <xf numFmtId="179" fontId="15" fillId="0" borderId="0" xfId="18" applyFont="1" applyBorder="1" applyProtection="1">
      <alignment vertical="top"/>
    </xf>
    <xf numFmtId="49" fontId="15" fillId="0" borderId="0" xfId="18" applyNumberFormat="1" applyFont="1" applyBorder="1" applyAlignment="1" applyProtection="1">
      <alignment vertical="top" wrapText="1"/>
    </xf>
    <xf numFmtId="49" fontId="37" fillId="0" borderId="0" xfId="16" applyNumberFormat="1" applyFont="1" applyBorder="1" applyAlignment="1" applyProtection="1">
      <alignment wrapText="1"/>
    </xf>
    <xf numFmtId="177" fontId="37" fillId="0" borderId="0" xfId="16" applyFont="1" applyBorder="1" applyAlignment="1" applyProtection="1"/>
    <xf numFmtId="178" fontId="15" fillId="24" borderId="47" xfId="19" applyNumberFormat="1" applyFont="1" applyFill="1" applyBorder="1" applyProtection="1">
      <alignment vertical="top"/>
    </xf>
    <xf numFmtId="49" fontId="37" fillId="0" borderId="0" xfId="16" applyNumberFormat="1" applyFont="1" applyBorder="1" applyAlignment="1" applyProtection="1">
      <alignment vertical="top" wrapText="1"/>
    </xf>
    <xf numFmtId="177" fontId="74" fillId="0" borderId="0" xfId="16" applyFont="1" applyBorder="1" applyProtection="1">
      <alignment vertical="top"/>
    </xf>
    <xf numFmtId="0" fontId="37" fillId="13" borderId="47" xfId="15" applyNumberFormat="1" applyFont="1" applyFill="1" applyBorder="1" applyAlignment="1" applyProtection="1">
      <alignment vertical="top"/>
      <protection locked="0"/>
    </xf>
    <xf numFmtId="2" fontId="15" fillId="16" borderId="47" xfId="19" applyNumberFormat="1" applyFont="1" applyFill="1" applyBorder="1" applyProtection="1">
      <alignment vertical="top"/>
    </xf>
    <xf numFmtId="177" fontId="72" fillId="24" borderId="0" xfId="16" applyFont="1" applyFill="1" applyProtection="1">
      <alignment vertical="top"/>
    </xf>
    <xf numFmtId="167" fontId="15" fillId="21" borderId="2" xfId="0" applyNumberFormat="1" applyFont="1" applyFill="1" applyBorder="1" applyAlignment="1" applyProtection="1">
      <alignment vertical="top" wrapText="1"/>
      <protection locked="0"/>
    </xf>
    <xf numFmtId="164" fontId="15" fillId="20" borderId="32" xfId="0" applyNumberFormat="1" applyFont="1" applyFill="1" applyBorder="1" applyAlignment="1">
      <alignment horizontal="left" vertical="top"/>
    </xf>
    <xf numFmtId="164" fontId="15" fillId="20" borderId="33" xfId="0" applyNumberFormat="1" applyFont="1" applyFill="1" applyBorder="1" applyAlignment="1">
      <alignment horizontal="left" vertical="top"/>
    </xf>
    <xf numFmtId="164" fontId="15" fillId="20" borderId="29" xfId="0" applyNumberFormat="1" applyFont="1" applyFill="1" applyBorder="1" applyAlignment="1">
      <alignment horizontal="left" vertical="top"/>
    </xf>
    <xf numFmtId="173" fontId="15" fillId="20" borderId="14" xfId="8" applyNumberFormat="1" applyFont="1" applyFill="1" applyBorder="1" applyAlignment="1" applyProtection="1">
      <alignment vertical="top"/>
    </xf>
    <xf numFmtId="0" fontId="83" fillId="0" borderId="0" xfId="13" applyFont="1"/>
    <xf numFmtId="0" fontId="84" fillId="0" borderId="0" xfId="13" applyFont="1"/>
    <xf numFmtId="177" fontId="11" fillId="20" borderId="0" xfId="16" applyFont="1" applyFill="1" applyBorder="1" applyProtection="1">
      <alignment vertical="top"/>
    </xf>
    <xf numFmtId="177" fontId="14" fillId="20" borderId="0" xfId="16" applyFont="1" applyFill="1" applyBorder="1" applyProtection="1">
      <alignment vertical="top"/>
    </xf>
    <xf numFmtId="0" fontId="3" fillId="0" borderId="0" xfId="0" applyFont="1"/>
    <xf numFmtId="0" fontId="23" fillId="18" borderId="1" xfId="0" applyFont="1" applyFill="1" applyBorder="1" applyAlignment="1">
      <alignment horizontal="left" vertical="top" wrapText="1"/>
    </xf>
    <xf numFmtId="182" fontId="15" fillId="0" borderId="1" xfId="0" applyNumberFormat="1" applyFont="1" applyBorder="1" applyAlignment="1">
      <alignment horizontal="right" vertical="top" wrapText="1"/>
    </xf>
    <xf numFmtId="0" fontId="41" fillId="0" borderId="2" xfId="0" applyFont="1" applyBorder="1" applyAlignment="1">
      <alignment vertical="top"/>
    </xf>
    <xf numFmtId="0" fontId="29" fillId="7" borderId="8" xfId="13" applyFont="1" applyFill="1" applyBorder="1"/>
    <xf numFmtId="171" fontId="29" fillId="7" borderId="8" xfId="13" applyNumberFormat="1" applyFont="1" applyFill="1" applyBorder="1" applyAlignment="1">
      <alignment horizontal="center"/>
    </xf>
    <xf numFmtId="171" fontId="29" fillId="7" borderId="9" xfId="13" applyNumberFormat="1" applyFont="1" applyFill="1" applyBorder="1" applyAlignment="1">
      <alignment horizontal="center"/>
    </xf>
    <xf numFmtId="0" fontId="41" fillId="7" borderId="2" xfId="0" applyFont="1" applyFill="1" applyBorder="1" applyAlignment="1">
      <alignment horizontal="left"/>
    </xf>
    <xf numFmtId="0" fontId="11" fillId="7" borderId="8" xfId="0" applyFont="1" applyFill="1" applyBorder="1" applyAlignment="1">
      <alignment horizontal="left"/>
    </xf>
    <xf numFmtId="0" fontId="29" fillId="7" borderId="8" xfId="0" applyFont="1" applyFill="1" applyBorder="1" applyAlignment="1">
      <alignment horizontal="left"/>
    </xf>
    <xf numFmtId="0" fontId="15" fillId="0" borderId="4" xfId="0" applyFont="1" applyBorder="1"/>
    <xf numFmtId="0" fontId="15" fillId="0" borderId="5" xfId="0" applyFont="1" applyBorder="1"/>
    <xf numFmtId="0" fontId="15" fillId="0" borderId="10" xfId="0" applyFont="1" applyBorder="1"/>
    <xf numFmtId="0" fontId="15" fillId="0" borderId="42" xfId="0" applyFont="1" applyBorder="1"/>
    <xf numFmtId="0" fontId="15" fillId="0" borderId="11" xfId="0" applyFont="1" applyBorder="1"/>
    <xf numFmtId="0" fontId="15" fillId="0" borderId="43" xfId="0" applyFont="1" applyBorder="1"/>
    <xf numFmtId="168" fontId="15" fillId="0" borderId="4" xfId="5" applyNumberFormat="1" applyFont="1" applyBorder="1" applyProtection="1"/>
    <xf numFmtId="168" fontId="15" fillId="0" borderId="5" xfId="5" applyNumberFormat="1" applyFont="1" applyBorder="1" applyProtection="1"/>
    <xf numFmtId="168" fontId="15" fillId="0" borderId="6" xfId="5" applyNumberFormat="1" applyFont="1" applyBorder="1" applyProtection="1"/>
    <xf numFmtId="168" fontId="30" fillId="0" borderId="0" xfId="5" applyNumberFormat="1" applyFont="1" applyBorder="1" applyProtection="1"/>
    <xf numFmtId="168" fontId="15" fillId="0" borderId="10" xfId="5" applyNumberFormat="1" applyFont="1" applyBorder="1" applyProtection="1"/>
    <xf numFmtId="168" fontId="15" fillId="0" borderId="0" xfId="5" applyNumberFormat="1" applyFont="1" applyBorder="1" applyProtection="1"/>
    <xf numFmtId="168" fontId="15" fillId="0" borderId="42" xfId="5" applyNumberFormat="1" applyFont="1" applyBorder="1" applyProtection="1"/>
    <xf numFmtId="9" fontId="15" fillId="0" borderId="0" xfId="8" applyFont="1" applyBorder="1" applyProtection="1"/>
    <xf numFmtId="10" fontId="0" fillId="0" borderId="0" xfId="0" applyNumberFormat="1"/>
    <xf numFmtId="9" fontId="0" fillId="0" borderId="0" xfId="0" applyNumberFormat="1"/>
    <xf numFmtId="8" fontId="0" fillId="0" borderId="0" xfId="0" applyNumberFormat="1"/>
    <xf numFmtId="6" fontId="0" fillId="0" borderId="0" xfId="0" applyNumberFormat="1"/>
    <xf numFmtId="6" fontId="3" fillId="0" borderId="0" xfId="0" applyNumberFormat="1" applyFont="1"/>
    <xf numFmtId="183" fontId="0" fillId="0" borderId="0" xfId="0" applyNumberFormat="1"/>
    <xf numFmtId="44" fontId="15" fillId="24" borderId="47" xfId="18" applyNumberFormat="1" applyFont="1" applyFill="1" applyBorder="1" applyProtection="1">
      <alignment vertical="top"/>
    </xf>
    <xf numFmtId="14" fontId="15" fillId="7" borderId="0" xfId="0" applyNumberFormat="1" applyFont="1" applyFill="1" applyAlignment="1" applyProtection="1">
      <alignment horizontal="center" vertical="center"/>
      <protection locked="0"/>
    </xf>
    <xf numFmtId="14" fontId="15" fillId="7" borderId="0" xfId="0" applyNumberFormat="1" applyFont="1" applyFill="1" applyAlignment="1">
      <alignment horizontal="center" vertical="center"/>
    </xf>
    <xf numFmtId="0" fontId="14" fillId="24" borderId="1" xfId="0" applyFont="1" applyFill="1" applyBorder="1" applyAlignment="1">
      <alignment horizontal="center" wrapText="1"/>
    </xf>
    <xf numFmtId="169" fontId="15" fillId="0" borderId="0" xfId="1" applyNumberFormat="1" applyFont="1"/>
    <xf numFmtId="42" fontId="15" fillId="20" borderId="1" xfId="1" applyNumberFormat="1" applyFont="1" applyFill="1" applyBorder="1" applyAlignment="1">
      <alignment horizontal="left" vertical="center"/>
    </xf>
    <xf numFmtId="0" fontId="29" fillId="3" borderId="0" xfId="13" applyFont="1" applyFill="1" applyAlignment="1">
      <alignment vertical="center"/>
    </xf>
    <xf numFmtId="169" fontId="15" fillId="20" borderId="1" xfId="14" applyNumberFormat="1" applyFont="1" applyFill="1" applyBorder="1" applyAlignment="1">
      <alignment horizontal="center" vertical="center"/>
    </xf>
    <xf numFmtId="0" fontId="29" fillId="0" borderId="0" xfId="13" applyFont="1" applyAlignment="1">
      <alignment vertical="center"/>
    </xf>
    <xf numFmtId="0" fontId="35" fillId="0" borderId="0" xfId="13" applyFont="1" applyAlignment="1">
      <alignment horizontal="left" vertical="center"/>
    </xf>
    <xf numFmtId="168" fontId="15" fillId="20" borderId="1" xfId="5" applyNumberFormat="1" applyFont="1" applyFill="1" applyBorder="1" applyAlignment="1">
      <alignment horizontal="left" vertical="center"/>
    </xf>
    <xf numFmtId="168" fontId="15" fillId="21" borderId="2" xfId="5" applyNumberFormat="1" applyFont="1" applyFill="1" applyBorder="1" applyAlignment="1" applyProtection="1">
      <alignment horizontal="center" vertical="center"/>
      <protection locked="0"/>
    </xf>
    <xf numFmtId="169" fontId="18" fillId="7" borderId="1" xfId="14" applyNumberFormat="1" applyFont="1" applyFill="1" applyBorder="1" applyAlignment="1">
      <alignment horizontal="left" vertical="center"/>
    </xf>
    <xf numFmtId="0" fontId="14" fillId="24" borderId="30" xfId="0" applyFont="1" applyFill="1" applyBorder="1"/>
    <xf numFmtId="0" fontId="14" fillId="24" borderId="25" xfId="0" applyFont="1" applyFill="1" applyBorder="1" applyAlignment="1">
      <alignment horizontal="center" wrapText="1"/>
    </xf>
    <xf numFmtId="0" fontId="14" fillId="24" borderId="26" xfId="0" applyFont="1" applyFill="1" applyBorder="1" applyAlignment="1">
      <alignment horizontal="center" wrapText="1"/>
    </xf>
    <xf numFmtId="178" fontId="37" fillId="0" borderId="0" xfId="16" applyNumberFormat="1" applyFont="1" applyFill="1" applyBorder="1" applyProtection="1">
      <alignment vertical="top"/>
    </xf>
    <xf numFmtId="177" fontId="61" fillId="0" borderId="0" xfId="16" applyFont="1" applyFill="1" applyBorder="1" applyAlignment="1" applyProtection="1">
      <alignment vertical="center"/>
    </xf>
    <xf numFmtId="177" fontId="65" fillId="0" borderId="0" xfId="16" applyFont="1" applyBorder="1" applyAlignment="1" applyProtection="1">
      <alignment vertical="center"/>
    </xf>
    <xf numFmtId="177" fontId="61" fillId="0" borderId="0" xfId="16" applyFont="1" applyBorder="1" applyAlignment="1" applyProtection="1">
      <alignment vertical="center"/>
    </xf>
    <xf numFmtId="177" fontId="69" fillId="0" borderId="0" xfId="16" applyFont="1" applyBorder="1" applyAlignment="1" applyProtection="1">
      <alignment vertical="center"/>
    </xf>
    <xf numFmtId="177" fontId="61" fillId="0" borderId="42" xfId="16" applyFont="1" applyBorder="1" applyAlignment="1" applyProtection="1">
      <alignment vertical="center"/>
    </xf>
    <xf numFmtId="177" fontId="61" fillId="0" borderId="0" xfId="16" applyFont="1" applyAlignment="1" applyProtection="1">
      <alignment vertical="center"/>
    </xf>
    <xf numFmtId="177" fontId="66" fillId="23" borderId="49" xfId="16" applyFont="1" applyFill="1" applyBorder="1" applyAlignment="1" applyProtection="1">
      <alignment vertical="center"/>
    </xf>
    <xf numFmtId="177" fontId="71" fillId="23" borderId="49" xfId="16" applyFont="1" applyFill="1" applyBorder="1" applyAlignment="1" applyProtection="1">
      <alignment vertical="center"/>
    </xf>
    <xf numFmtId="177" fontId="66" fillId="23" borderId="50" xfId="16" applyFont="1" applyFill="1" applyBorder="1" applyAlignment="1" applyProtection="1">
      <alignment vertical="center"/>
    </xf>
    <xf numFmtId="177" fontId="66" fillId="0" borderId="0" xfId="16" applyFont="1" applyAlignment="1" applyProtection="1">
      <alignment vertical="center"/>
    </xf>
    <xf numFmtId="177" fontId="37" fillId="0" borderId="0" xfId="16" applyFont="1" applyFill="1" applyAlignment="1" applyProtection="1">
      <alignment vertical="center"/>
    </xf>
    <xf numFmtId="177" fontId="33" fillId="25" borderId="0" xfId="16" applyFont="1" applyFill="1" applyBorder="1" applyAlignment="1" applyProtection="1">
      <alignment vertical="center"/>
    </xf>
    <xf numFmtId="177" fontId="37" fillId="25" borderId="0" xfId="16" applyFont="1" applyFill="1" applyBorder="1" applyAlignment="1" applyProtection="1">
      <alignment vertical="center"/>
    </xf>
    <xf numFmtId="177" fontId="80" fillId="25" borderId="0" xfId="16" applyFont="1" applyFill="1" applyAlignment="1" applyProtection="1">
      <alignment vertical="center"/>
    </xf>
    <xf numFmtId="0" fontId="73" fillId="25" borderId="0" xfId="16" applyNumberFormat="1" applyFont="1" applyFill="1" applyBorder="1" applyAlignment="1" applyProtection="1">
      <alignment vertical="center"/>
    </xf>
    <xf numFmtId="177" fontId="37" fillId="0" borderId="42" xfId="16" applyFont="1" applyBorder="1" applyAlignment="1" applyProtection="1">
      <alignment vertical="center"/>
    </xf>
    <xf numFmtId="177" fontId="37" fillId="0" borderId="0" xfId="16" applyFont="1" applyAlignment="1" applyProtection="1">
      <alignment vertical="center"/>
    </xf>
    <xf numFmtId="1" fontId="33" fillId="24" borderId="0" xfId="16" applyNumberFormat="1" applyFont="1" applyFill="1" applyAlignment="1" applyProtection="1">
      <alignment vertical="center"/>
    </xf>
    <xf numFmtId="177" fontId="37" fillId="0" borderId="0" xfId="16" applyFont="1" applyBorder="1" applyAlignment="1" applyProtection="1">
      <alignment vertical="center"/>
    </xf>
    <xf numFmtId="177" fontId="60" fillId="0" borderId="0" xfId="16" applyFont="1" applyBorder="1" applyAlignment="1" applyProtection="1">
      <alignment vertical="center"/>
    </xf>
    <xf numFmtId="177" fontId="81" fillId="0" borderId="0" xfId="16" applyFont="1" applyAlignment="1" applyProtection="1">
      <alignment vertical="center"/>
    </xf>
    <xf numFmtId="177" fontId="74" fillId="0" borderId="0" xfId="16" applyFont="1" applyAlignment="1" applyProtection="1">
      <alignment vertical="center"/>
    </xf>
    <xf numFmtId="1" fontId="37" fillId="20" borderId="47" xfId="16" applyNumberFormat="1" applyFont="1" applyFill="1" applyBorder="1" applyAlignment="1" applyProtection="1">
      <alignment vertical="center"/>
    </xf>
    <xf numFmtId="1" fontId="37" fillId="19" borderId="47" xfId="16" applyNumberFormat="1" applyFont="1" applyFill="1" applyBorder="1" applyAlignment="1" applyProtection="1">
      <alignment horizontal="right" vertical="center"/>
    </xf>
    <xf numFmtId="9" fontId="15" fillId="24" borderId="47" xfId="18" applyNumberFormat="1" applyFont="1" applyFill="1" applyBorder="1" applyAlignment="1" applyProtection="1">
      <alignment vertical="center"/>
    </xf>
    <xf numFmtId="177" fontId="61" fillId="0" borderId="0" xfId="16" applyFont="1" applyFill="1" applyAlignment="1" applyProtection="1">
      <alignment vertical="center"/>
    </xf>
    <xf numFmtId="177" fontId="37" fillId="0" borderId="0" xfId="16" applyFont="1" applyFill="1" applyBorder="1" applyAlignment="1" applyProtection="1">
      <alignment vertical="center"/>
    </xf>
    <xf numFmtId="177" fontId="33" fillId="20" borderId="0" xfId="16" applyFont="1" applyFill="1" applyBorder="1" applyAlignment="1" applyProtection="1">
      <alignment vertical="center"/>
    </xf>
    <xf numFmtId="1" fontId="33" fillId="20" borderId="0" xfId="16" applyNumberFormat="1" applyFont="1" applyFill="1" applyAlignment="1" applyProtection="1">
      <alignment horizontal="center" vertical="center"/>
    </xf>
    <xf numFmtId="177" fontId="33" fillId="20" borderId="0" xfId="16" applyFont="1" applyFill="1" applyBorder="1" applyAlignment="1" applyProtection="1">
      <alignment horizontal="center" vertical="center"/>
    </xf>
    <xf numFmtId="177" fontId="34" fillId="0" borderId="0" xfId="16" applyFont="1" applyFill="1" applyAlignment="1" applyProtection="1">
      <alignment vertical="center"/>
    </xf>
    <xf numFmtId="177" fontId="35" fillId="0" borderId="0" xfId="16" applyFont="1" applyFill="1" applyAlignment="1" applyProtection="1">
      <alignment vertical="center"/>
    </xf>
    <xf numFmtId="177" fontId="37" fillId="0" borderId="0" xfId="16" applyFont="1" applyAlignment="1" applyProtection="1">
      <alignment horizontal="center" vertical="center"/>
    </xf>
    <xf numFmtId="177" fontId="33" fillId="0" borderId="0" xfId="16" applyFont="1" applyAlignment="1" applyProtection="1">
      <alignment vertical="center"/>
    </xf>
    <xf numFmtId="1" fontId="34" fillId="0" borderId="0" xfId="16" applyNumberFormat="1" applyFont="1" applyFill="1" applyAlignment="1" applyProtection="1">
      <alignment vertical="center"/>
    </xf>
    <xf numFmtId="177" fontId="37" fillId="20" borderId="47" xfId="16" applyFont="1" applyFill="1" applyBorder="1" applyAlignment="1" applyProtection="1">
      <alignment vertical="center"/>
    </xf>
    <xf numFmtId="177" fontId="15" fillId="20" borderId="47" xfId="16" applyFont="1" applyFill="1" applyBorder="1" applyAlignment="1" applyProtection="1">
      <alignment horizontal="center" vertical="center"/>
    </xf>
    <xf numFmtId="49" fontId="37" fillId="0" borderId="0" xfId="16" applyNumberFormat="1" applyFont="1" applyAlignment="1" applyProtection="1">
      <alignment vertical="center" wrapText="1"/>
    </xf>
    <xf numFmtId="177" fontId="33" fillId="0" borderId="0" xfId="16" applyFont="1" applyFill="1" applyBorder="1" applyAlignment="1" applyProtection="1">
      <alignment vertical="center"/>
    </xf>
    <xf numFmtId="177" fontId="37" fillId="0" borderId="42" xfId="16" applyFont="1" applyFill="1" applyBorder="1" applyAlignment="1" applyProtection="1">
      <alignment vertical="center"/>
    </xf>
    <xf numFmtId="177" fontId="60" fillId="0" borderId="4" xfId="16" applyFont="1" applyBorder="1" applyAlignment="1" applyProtection="1">
      <alignment vertical="center"/>
    </xf>
    <xf numFmtId="177" fontId="37" fillId="0" borderId="5" xfId="16" applyFont="1" applyBorder="1" applyAlignment="1" applyProtection="1">
      <alignment vertical="center"/>
    </xf>
    <xf numFmtId="177" fontId="33" fillId="0" borderId="5" xfId="16" applyFont="1" applyBorder="1" applyAlignment="1" applyProtection="1">
      <alignment vertical="center"/>
    </xf>
    <xf numFmtId="49" fontId="37" fillId="0" borderId="5" xfId="16" applyNumberFormat="1" applyFont="1" applyBorder="1" applyAlignment="1" applyProtection="1">
      <alignment vertical="center" wrapText="1"/>
    </xf>
    <xf numFmtId="177" fontId="37" fillId="0" borderId="6" xfId="16" applyFont="1" applyBorder="1" applyAlignment="1" applyProtection="1">
      <alignment vertical="center"/>
    </xf>
    <xf numFmtId="177" fontId="37" fillId="22" borderId="10" xfId="16" applyFont="1" applyFill="1" applyBorder="1" applyAlignment="1" applyProtection="1">
      <alignment vertical="center"/>
    </xf>
    <xf numFmtId="177" fontId="37" fillId="22" borderId="0" xfId="16" applyFont="1" applyFill="1" applyBorder="1" applyAlignment="1" applyProtection="1">
      <alignment vertical="center"/>
    </xf>
    <xf numFmtId="177" fontId="15" fillId="24" borderId="47" xfId="19" applyFont="1" applyFill="1" applyBorder="1" applyAlignment="1" applyProtection="1">
      <alignment vertical="center"/>
    </xf>
    <xf numFmtId="49" fontId="37" fillId="22" borderId="0" xfId="16" applyNumberFormat="1" applyFont="1" applyFill="1" applyBorder="1" applyAlignment="1" applyProtection="1">
      <alignment vertical="center" wrapText="1"/>
    </xf>
    <xf numFmtId="177" fontId="37" fillId="22" borderId="42" xfId="16" applyFont="1" applyFill="1" applyBorder="1" applyAlignment="1" applyProtection="1">
      <alignment vertical="center"/>
    </xf>
    <xf numFmtId="177" fontId="37" fillId="24" borderId="47" xfId="16" applyFont="1" applyFill="1" applyBorder="1" applyAlignment="1" applyProtection="1">
      <alignment vertical="center"/>
    </xf>
    <xf numFmtId="177" fontId="37" fillId="24" borderId="47" xfId="16" applyFont="1" applyFill="1" applyBorder="1" applyAlignment="1">
      <alignment vertical="center"/>
    </xf>
    <xf numFmtId="177" fontId="81" fillId="22" borderId="0" xfId="16" applyFont="1" applyFill="1" applyBorder="1" applyAlignment="1" applyProtection="1">
      <alignment vertical="center"/>
    </xf>
    <xf numFmtId="177" fontId="37" fillId="24" borderId="64" xfId="16" applyFont="1" applyFill="1" applyBorder="1" applyAlignment="1" applyProtection="1">
      <alignment vertical="center"/>
    </xf>
    <xf numFmtId="177" fontId="81" fillId="22" borderId="12" xfId="16" applyFont="1" applyFill="1" applyBorder="1" applyAlignment="1" applyProtection="1">
      <alignment vertical="center"/>
    </xf>
    <xf numFmtId="177" fontId="37" fillId="22" borderId="12" xfId="16" applyFont="1" applyFill="1" applyBorder="1" applyAlignment="1" applyProtection="1">
      <alignment vertical="center"/>
    </xf>
    <xf numFmtId="177" fontId="37" fillId="22" borderId="43" xfId="16" applyFont="1" applyFill="1" applyBorder="1" applyAlignment="1" applyProtection="1">
      <alignment vertical="center"/>
    </xf>
    <xf numFmtId="177" fontId="37" fillId="24" borderId="51" xfId="16" applyFont="1" applyFill="1" applyBorder="1" applyAlignment="1" applyProtection="1">
      <alignment vertical="center"/>
    </xf>
    <xf numFmtId="177" fontId="37" fillId="24" borderId="51" xfId="16" applyFont="1" applyFill="1" applyBorder="1" applyAlignment="1">
      <alignment vertical="center"/>
    </xf>
    <xf numFmtId="177" fontId="37" fillId="24" borderId="66" xfId="16" applyFont="1" applyFill="1" applyBorder="1" applyAlignment="1" applyProtection="1">
      <alignment vertical="center"/>
    </xf>
    <xf numFmtId="177" fontId="37" fillId="22" borderId="11" xfId="16" applyFont="1" applyFill="1" applyBorder="1" applyAlignment="1" applyProtection="1">
      <alignment vertical="center"/>
    </xf>
    <xf numFmtId="177" fontId="37" fillId="24" borderId="65" xfId="16" applyFont="1" applyFill="1" applyBorder="1" applyAlignment="1" applyProtection="1">
      <alignment vertical="center"/>
    </xf>
    <xf numFmtId="0" fontId="0" fillId="0" borderId="0" xfId="0" applyAlignment="1">
      <alignment vertical="center"/>
    </xf>
    <xf numFmtId="171" fontId="29" fillId="0" borderId="0" xfId="13" applyNumberFormat="1" applyFont="1" applyAlignment="1">
      <alignment horizontal="center"/>
    </xf>
    <xf numFmtId="0" fontId="35" fillId="0" borderId="0" xfId="11" applyFont="1" applyAlignment="1">
      <alignment horizontal="left"/>
    </xf>
    <xf numFmtId="0" fontId="15" fillId="0" borderId="6" xfId="0" applyFont="1" applyBorder="1"/>
    <xf numFmtId="168" fontId="15" fillId="0" borderId="6" xfId="5" applyNumberFormat="1" applyFont="1" applyBorder="1"/>
    <xf numFmtId="0" fontId="15" fillId="0" borderId="0" xfId="0" applyFont="1" applyAlignment="1">
      <alignment horizontal="center"/>
    </xf>
    <xf numFmtId="1" fontId="15" fillId="0" borderId="0" xfId="0" applyNumberFormat="1" applyFont="1"/>
    <xf numFmtId="0" fontId="30" fillId="0" borderId="0" xfId="0" applyFont="1"/>
    <xf numFmtId="172" fontId="15" fillId="0" borderId="0" xfId="0" applyNumberFormat="1" applyFont="1"/>
    <xf numFmtId="9" fontId="30" fillId="0" borderId="0" xfId="8" applyFont="1" applyBorder="1" applyProtection="1"/>
    <xf numFmtId="168" fontId="15" fillId="0" borderId="5" xfId="5" applyNumberFormat="1" applyFont="1" applyBorder="1"/>
    <xf numFmtId="168" fontId="15" fillId="0" borderId="42" xfId="5" applyNumberFormat="1" applyFont="1" applyBorder="1"/>
    <xf numFmtId="168" fontId="15" fillId="0" borderId="12" xfId="5" applyNumberFormat="1" applyFont="1" applyBorder="1"/>
    <xf numFmtId="168" fontId="15" fillId="0" borderId="43" xfId="5" applyNumberFormat="1" applyFont="1" applyBorder="1"/>
    <xf numFmtId="9" fontId="15" fillId="0" borderId="42" xfId="8" applyFont="1" applyBorder="1" applyProtection="1"/>
    <xf numFmtId="9" fontId="15" fillId="0" borderId="0" xfId="8" applyFont="1" applyBorder="1"/>
    <xf numFmtId="9" fontId="15" fillId="0" borderId="4" xfId="8" applyFont="1" applyBorder="1"/>
    <xf numFmtId="9" fontId="15" fillId="0" borderId="5" xfId="8" applyFont="1" applyBorder="1"/>
    <xf numFmtId="9" fontId="15" fillId="0" borderId="6" xfId="8" applyFont="1" applyBorder="1"/>
    <xf numFmtId="9" fontId="15" fillId="0" borderId="10" xfId="8" applyFont="1" applyBorder="1"/>
    <xf numFmtId="9" fontId="15" fillId="0" borderId="42" xfId="8" applyFont="1" applyBorder="1"/>
    <xf numFmtId="9" fontId="15" fillId="0" borderId="11" xfId="8" applyFont="1" applyBorder="1"/>
    <xf numFmtId="9" fontId="15" fillId="0" borderId="12" xfId="8" applyFont="1" applyBorder="1"/>
    <xf numFmtId="9" fontId="15" fillId="0" borderId="43" xfId="8" applyFont="1" applyBorder="1"/>
    <xf numFmtId="168" fontId="15" fillId="0" borderId="0" xfId="5" applyNumberFormat="1" applyFont="1"/>
    <xf numFmtId="168" fontId="0" fillId="0" borderId="0" xfId="5" applyNumberFormat="1" applyFont="1" applyBorder="1"/>
    <xf numFmtId="168" fontId="15" fillId="0" borderId="10" xfId="5" applyNumberFormat="1" applyFont="1" applyBorder="1"/>
    <xf numFmtId="168" fontId="0" fillId="0" borderId="42" xfId="5" applyNumberFormat="1" applyFont="1" applyBorder="1"/>
    <xf numFmtId="168" fontId="15" fillId="0" borderId="11" xfId="5" applyNumberFormat="1" applyFont="1" applyBorder="1"/>
    <xf numFmtId="168" fontId="0" fillId="0" borderId="12" xfId="5" applyNumberFormat="1" applyFont="1" applyBorder="1"/>
    <xf numFmtId="168" fontId="0" fillId="0" borderId="43" xfId="5" applyNumberFormat="1" applyFont="1" applyBorder="1"/>
    <xf numFmtId="168" fontId="30" fillId="0" borderId="0" xfId="5" applyNumberFormat="1" applyFont="1"/>
    <xf numFmtId="9" fontId="30" fillId="0" borderId="0" xfId="8" applyFont="1"/>
    <xf numFmtId="14" fontId="34" fillId="0" borderId="0" xfId="0" applyNumberFormat="1" applyFont="1"/>
    <xf numFmtId="14" fontId="34" fillId="7" borderId="0" xfId="0" applyNumberFormat="1" applyFont="1" applyFill="1" applyAlignment="1" applyProtection="1">
      <alignment horizontal="center" vertical="center"/>
      <protection locked="0"/>
    </xf>
    <xf numFmtId="14" fontId="34" fillId="7" borderId="0" xfId="0" applyNumberFormat="1" applyFont="1" applyFill="1" applyAlignment="1" applyProtection="1">
      <alignment horizontal="left" vertical="center"/>
      <protection locked="0"/>
    </xf>
    <xf numFmtId="14" fontId="34" fillId="7" borderId="0" xfId="0" applyNumberFormat="1" applyFont="1" applyFill="1" applyAlignment="1">
      <alignment horizontal="left" vertical="center"/>
    </xf>
    <xf numFmtId="168" fontId="15" fillId="8" borderId="1" xfId="5" applyNumberFormat="1" applyFont="1" applyFill="1" applyBorder="1"/>
    <xf numFmtId="184" fontId="15" fillId="8" borderId="1" xfId="0" applyNumberFormat="1" applyFont="1" applyFill="1" applyBorder="1" applyAlignment="1">
      <alignment horizontal="right" wrapText="1"/>
    </xf>
    <xf numFmtId="179" fontId="15" fillId="24" borderId="0" xfId="18" applyFont="1" applyFill="1" applyBorder="1" applyProtection="1">
      <alignment vertical="top"/>
    </xf>
    <xf numFmtId="178" fontId="37" fillId="24" borderId="0" xfId="16" applyNumberFormat="1" applyFont="1" applyFill="1" applyBorder="1" applyProtection="1">
      <alignment vertical="top"/>
    </xf>
    <xf numFmtId="9" fontId="3" fillId="0" borderId="0" xfId="0" applyNumberFormat="1" applyFont="1"/>
    <xf numFmtId="168" fontId="15" fillId="0" borderId="1" xfId="5" applyNumberFormat="1" applyFont="1" applyBorder="1" applyAlignment="1">
      <alignment horizontal="left" vertical="top" wrapText="1"/>
    </xf>
    <xf numFmtId="177" fontId="1" fillId="0" borderId="0" xfId="16" applyFont="1">
      <alignment vertical="top"/>
    </xf>
    <xf numFmtId="0" fontId="86" fillId="0" borderId="0" xfId="0" applyFont="1" applyAlignment="1">
      <alignment vertical="center"/>
    </xf>
    <xf numFmtId="0" fontId="35" fillId="0" borderId="0" xfId="0" applyFont="1" applyAlignment="1">
      <alignment vertical="center" wrapText="1"/>
    </xf>
    <xf numFmtId="0" fontId="47" fillId="0" borderId="0" xfId="0" applyFont="1"/>
    <xf numFmtId="0" fontId="34" fillId="0" borderId="0" xfId="0" applyFont="1"/>
    <xf numFmtId="0" fontId="15" fillId="0" borderId="0" xfId="0" applyFont="1" applyAlignment="1">
      <alignment horizontal="left" vertical="center"/>
    </xf>
    <xf numFmtId="0" fontId="15" fillId="0" borderId="0" xfId="13" applyFont="1" applyAlignment="1">
      <alignment vertical="center"/>
    </xf>
    <xf numFmtId="165" fontId="15" fillId="0" borderId="0" xfId="0" applyNumberFormat="1" applyFont="1" applyAlignment="1">
      <alignment horizontal="left" vertical="center"/>
    </xf>
    <xf numFmtId="0" fontId="15" fillId="0" borderId="0" xfId="13" applyFont="1" applyAlignment="1">
      <alignment vertical="center" wrapText="1"/>
    </xf>
    <xf numFmtId="0" fontId="31" fillId="0" borderId="0" xfId="0" applyFont="1" applyAlignment="1">
      <alignment horizontal="left" vertical="center"/>
    </xf>
    <xf numFmtId="0" fontId="14" fillId="0" borderId="0" xfId="0" applyFont="1" applyAlignment="1">
      <alignment horizontal="left" vertical="center"/>
    </xf>
    <xf numFmtId="0" fontId="17" fillId="3" borderId="0" xfId="0" applyFont="1" applyFill="1" applyAlignment="1">
      <alignment horizontal="left" vertical="center" wrapText="1"/>
    </xf>
    <xf numFmtId="0" fontId="29" fillId="0" borderId="0" xfId="0" applyFont="1" applyAlignment="1">
      <alignment horizontal="left" vertical="center"/>
    </xf>
    <xf numFmtId="0" fontId="12" fillId="4" borderId="0" xfId="0" applyFont="1" applyFill="1" applyAlignment="1">
      <alignment horizontal="left" vertical="center"/>
    </xf>
    <xf numFmtId="0" fontId="28" fillId="4" borderId="0" xfId="0" applyFont="1" applyFill="1" applyAlignment="1">
      <alignment horizontal="left" vertical="center"/>
    </xf>
    <xf numFmtId="0" fontId="28" fillId="10" borderId="0" xfId="13" applyFont="1" applyFill="1" applyAlignment="1">
      <alignment vertical="center" wrapText="1"/>
    </xf>
    <xf numFmtId="0" fontId="29" fillId="10" borderId="0" xfId="13" applyFont="1" applyFill="1" applyAlignment="1">
      <alignment vertical="center"/>
    </xf>
    <xf numFmtId="0" fontId="15" fillId="0" borderId="0" xfId="0" quotePrefix="1" applyFont="1" applyAlignment="1">
      <alignment horizontal="left" vertical="center"/>
    </xf>
    <xf numFmtId="0" fontId="17" fillId="0" borderId="0" xfId="13" applyFont="1" applyAlignment="1">
      <alignment vertical="center" wrapText="1"/>
    </xf>
    <xf numFmtId="0" fontId="15" fillId="0" borderId="12" xfId="0" applyFont="1" applyBorder="1" applyAlignment="1">
      <alignment horizontal="left" vertical="center"/>
    </xf>
    <xf numFmtId="0" fontId="15" fillId="0" borderId="63" xfId="0" applyFont="1" applyBorder="1" applyAlignment="1">
      <alignment horizontal="left" vertical="center"/>
    </xf>
    <xf numFmtId="0" fontId="14" fillId="20" borderId="55" xfId="0" applyFont="1" applyFill="1" applyBorder="1" applyAlignment="1">
      <alignment vertical="center"/>
    </xf>
    <xf numFmtId="0" fontId="14" fillId="20" borderId="56" xfId="0" applyFont="1" applyFill="1" applyBorder="1" applyAlignment="1">
      <alignment vertical="center"/>
    </xf>
    <xf numFmtId="0" fontId="15" fillId="0" borderId="8" xfId="0" applyFont="1" applyBorder="1" applyAlignment="1">
      <alignment horizontal="left" vertical="center"/>
    </xf>
    <xf numFmtId="0" fontId="15" fillId="0" borderId="24" xfId="0" applyFont="1" applyBorder="1" applyAlignment="1">
      <alignment horizontal="left" vertical="center"/>
    </xf>
    <xf numFmtId="0" fontId="14" fillId="20" borderId="44" xfId="0" applyFont="1" applyFill="1" applyBorder="1" applyAlignment="1">
      <alignment vertical="center"/>
    </xf>
    <xf numFmtId="0" fontId="14" fillId="20" borderId="8" xfId="0" applyFont="1" applyFill="1" applyBorder="1" applyAlignment="1">
      <alignment vertical="center"/>
    </xf>
    <xf numFmtId="0" fontId="14" fillId="20" borderId="24" xfId="0" applyFont="1" applyFill="1" applyBorder="1" applyAlignment="1">
      <alignment vertical="center"/>
    </xf>
    <xf numFmtId="0" fontId="15" fillId="0" borderId="8" xfId="4" applyFont="1" applyBorder="1" applyAlignment="1" applyProtection="1">
      <alignment vertical="center"/>
    </xf>
    <xf numFmtId="0" fontId="48" fillId="0" borderId="8" xfId="4" applyFont="1" applyBorder="1" applyAlignment="1" applyProtection="1">
      <alignment vertical="center"/>
    </xf>
    <xf numFmtId="0" fontId="48" fillId="0" borderId="24" xfId="4" applyFont="1" applyBorder="1" applyAlignment="1" applyProtection="1">
      <alignment vertical="center"/>
    </xf>
    <xf numFmtId="0" fontId="14" fillId="13" borderId="44" xfId="0" applyFont="1" applyFill="1" applyBorder="1" applyAlignment="1" applyProtection="1">
      <alignment vertical="center"/>
      <protection locked="0"/>
    </xf>
    <xf numFmtId="0" fontId="14" fillId="13" borderId="8" xfId="0" applyFont="1" applyFill="1" applyBorder="1" applyAlignment="1">
      <alignment vertical="center"/>
    </xf>
    <xf numFmtId="0" fontId="9" fillId="0" borderId="0" xfId="0" applyFont="1" applyAlignment="1">
      <alignment vertical="center"/>
    </xf>
    <xf numFmtId="0" fontId="22" fillId="0" borderId="8" xfId="0" applyFont="1" applyBorder="1" applyAlignment="1">
      <alignment horizontal="left" vertical="center"/>
    </xf>
    <xf numFmtId="49" fontId="14" fillId="20" borderId="62" xfId="13" applyNumberFormat="1" applyFont="1" applyFill="1" applyBorder="1" applyAlignment="1">
      <alignment vertical="center"/>
    </xf>
    <xf numFmtId="0" fontId="14" fillId="20" borderId="38" xfId="0" applyFont="1" applyFill="1" applyBorder="1" applyAlignment="1">
      <alignment vertical="center"/>
    </xf>
    <xf numFmtId="0" fontId="15" fillId="3" borderId="0" xfId="13" applyFont="1" applyFill="1" applyAlignment="1">
      <alignment vertical="center"/>
    </xf>
    <xf numFmtId="0" fontId="13" fillId="0" borderId="0" xfId="13" applyFont="1" applyAlignment="1">
      <alignment vertical="center"/>
    </xf>
    <xf numFmtId="0" fontId="17" fillId="0" borderId="0" xfId="13" applyFont="1" applyAlignment="1">
      <alignment vertical="center"/>
    </xf>
    <xf numFmtId="0" fontId="29" fillId="4" borderId="0" xfId="0" applyFont="1" applyFill="1" applyAlignment="1">
      <alignment horizontal="left" vertical="center"/>
    </xf>
    <xf numFmtId="0" fontId="12" fillId="4" borderId="0" xfId="13" applyFont="1" applyFill="1" applyAlignment="1">
      <alignment vertical="center"/>
    </xf>
    <xf numFmtId="171" fontId="12" fillId="4" borderId="0" xfId="5" applyNumberFormat="1" applyFont="1" applyFill="1" applyAlignment="1">
      <alignment vertical="center"/>
    </xf>
    <xf numFmtId="171" fontId="14" fillId="0" borderId="0" xfId="5" applyNumberFormat="1" applyFont="1" applyFill="1" applyAlignment="1">
      <alignment horizontal="center" vertical="center"/>
    </xf>
    <xf numFmtId="0" fontId="14" fillId="0" borderId="0" xfId="13" applyFont="1" applyAlignment="1">
      <alignment vertical="center"/>
    </xf>
    <xf numFmtId="0" fontId="14" fillId="3" borderId="0" xfId="13" applyFont="1" applyFill="1" applyAlignment="1">
      <alignment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5" fillId="21" borderId="1" xfId="13" applyFont="1" applyFill="1" applyBorder="1" applyAlignment="1" applyProtection="1">
      <alignment horizontal="center" vertical="center"/>
      <protection locked="0"/>
    </xf>
    <xf numFmtId="0" fontId="15" fillId="21" borderId="2" xfId="13" applyFont="1" applyFill="1" applyBorder="1" applyAlignment="1" applyProtection="1">
      <alignment vertical="center"/>
      <protection locked="0"/>
    </xf>
    <xf numFmtId="0" fontId="15" fillId="21" borderId="8" xfId="13" applyFont="1" applyFill="1" applyBorder="1" applyAlignment="1" applyProtection="1">
      <alignment vertical="center"/>
      <protection locked="0"/>
    </xf>
    <xf numFmtId="0" fontId="15" fillId="21" borderId="9" xfId="13" applyFont="1" applyFill="1" applyBorder="1" applyAlignment="1" applyProtection="1">
      <alignment vertical="center"/>
      <protection locked="0"/>
    </xf>
    <xf numFmtId="42" fontId="15" fillId="20" borderId="1" xfId="5" applyNumberFormat="1" applyFont="1" applyFill="1" applyBorder="1" applyAlignment="1" applyProtection="1">
      <alignment horizontal="center" vertical="center"/>
    </xf>
    <xf numFmtId="42" fontId="15" fillId="20" borderId="1" xfId="1" applyNumberFormat="1" applyFont="1" applyFill="1" applyBorder="1" applyAlignment="1" applyProtection="1">
      <alignment horizontal="left" vertical="center"/>
    </xf>
    <xf numFmtId="0" fontId="14" fillId="0" borderId="0" xfId="13" applyFont="1" applyAlignment="1">
      <alignment horizontal="left" vertical="center"/>
    </xf>
    <xf numFmtId="0" fontId="15" fillId="0" borderId="0" xfId="13" applyFont="1" applyAlignment="1">
      <alignment horizontal="center" vertical="center"/>
    </xf>
    <xf numFmtId="169" fontId="15" fillId="0" borderId="0" xfId="1" applyNumberFormat="1" applyFont="1" applyFill="1" applyAlignment="1">
      <alignment vertical="center"/>
    </xf>
    <xf numFmtId="0" fontId="28" fillId="4" borderId="0" xfId="0" quotePrefix="1" applyFont="1" applyFill="1" applyAlignment="1">
      <alignment horizontal="left" vertical="center"/>
    </xf>
    <xf numFmtId="0" fontId="29" fillId="10" borderId="5" xfId="13" applyFont="1" applyFill="1" applyBorder="1" applyAlignment="1">
      <alignment vertical="center"/>
    </xf>
    <xf numFmtId="171" fontId="29" fillId="10" borderId="6" xfId="13" applyNumberFormat="1" applyFont="1" applyFill="1" applyBorder="1" applyAlignment="1">
      <alignment horizontal="center" vertical="center"/>
    </xf>
    <xf numFmtId="0" fontId="11" fillId="3" borderId="0" xfId="13" applyFont="1" applyFill="1" applyAlignment="1">
      <alignment vertical="center"/>
    </xf>
    <xf numFmtId="0" fontId="30" fillId="0" borderId="8" xfId="0" applyFont="1" applyBorder="1" applyAlignment="1">
      <alignment vertical="center"/>
    </xf>
    <xf numFmtId="0" fontId="30" fillId="0" borderId="9" xfId="0" applyFont="1" applyBorder="1" applyAlignment="1">
      <alignment vertical="center"/>
    </xf>
    <xf numFmtId="0" fontId="14" fillId="0" borderId="0" xfId="13" applyFont="1" applyAlignment="1">
      <alignment vertical="center" wrapText="1"/>
    </xf>
    <xf numFmtId="0" fontId="11" fillId="0" borderId="0" xfId="13" applyFont="1" applyAlignment="1">
      <alignment vertical="center" wrapText="1"/>
    </xf>
    <xf numFmtId="0" fontId="11" fillId="0" borderId="0" xfId="13" applyFont="1" applyAlignment="1">
      <alignment vertical="center"/>
    </xf>
    <xf numFmtId="0" fontId="14" fillId="3" borderId="0" xfId="13" applyFont="1" applyFill="1" applyAlignment="1">
      <alignment vertical="center" wrapText="1"/>
    </xf>
    <xf numFmtId="0" fontId="14" fillId="0" borderId="1" xfId="13" applyFont="1" applyBorder="1" applyAlignment="1">
      <alignment horizontal="left" vertical="center" wrapText="1"/>
    </xf>
    <xf numFmtId="0" fontId="14" fillId="0" borderId="2" xfId="13" applyFont="1" applyBorder="1" applyAlignment="1">
      <alignment horizontal="left" vertical="center" wrapText="1"/>
    </xf>
    <xf numFmtId="0" fontId="14" fillId="22" borderId="1" xfId="13" applyFont="1" applyFill="1" applyBorder="1" applyAlignment="1">
      <alignment horizontal="left" vertical="center" wrapText="1"/>
    </xf>
    <xf numFmtId="0" fontId="33" fillId="22" borderId="1" xfId="13" applyFont="1" applyFill="1" applyBorder="1" applyAlignment="1">
      <alignment horizontal="left" vertical="center" wrapText="1"/>
    </xf>
    <xf numFmtId="0" fontId="33" fillId="23" borderId="1" xfId="13" applyFont="1" applyFill="1" applyBorder="1" applyAlignment="1">
      <alignment horizontal="left" vertical="center" wrapText="1"/>
    </xf>
    <xf numFmtId="0" fontId="14" fillId="23" borderId="1" xfId="13" applyFont="1" applyFill="1" applyBorder="1" applyAlignment="1">
      <alignment horizontal="left" vertical="center" wrapText="1"/>
    </xf>
    <xf numFmtId="171" fontId="14" fillId="23" borderId="1" xfId="5" applyNumberFormat="1" applyFont="1" applyFill="1" applyBorder="1" applyAlignment="1">
      <alignment horizontal="left" vertical="center" wrapText="1"/>
    </xf>
    <xf numFmtId="0" fontId="14" fillId="22" borderId="1" xfId="0" applyFont="1" applyFill="1" applyBorder="1" applyAlignment="1">
      <alignment horizontal="left" vertical="center" wrapText="1"/>
    </xf>
    <xf numFmtId="0" fontId="15" fillId="3" borderId="0" xfId="13" applyFont="1" applyFill="1" applyAlignment="1">
      <alignment horizontal="left" vertical="center"/>
    </xf>
    <xf numFmtId="0" fontId="15" fillId="21" borderId="1" xfId="13" applyFont="1" applyFill="1" applyBorder="1" applyAlignment="1" applyProtection="1">
      <alignment horizontal="left" vertical="center"/>
      <protection locked="0"/>
    </xf>
    <xf numFmtId="0" fontId="15" fillId="21" borderId="1" xfId="13" applyFont="1" applyFill="1" applyBorder="1" applyAlignment="1" applyProtection="1">
      <alignment vertical="center"/>
      <protection locked="0"/>
    </xf>
    <xf numFmtId="169" fontId="15" fillId="21" borderId="1" xfId="14" applyNumberFormat="1" applyFont="1" applyFill="1" applyBorder="1" applyAlignment="1" applyProtection="1">
      <alignment horizontal="center" vertical="center"/>
      <protection locked="0"/>
    </xf>
    <xf numFmtId="168" fontId="15" fillId="20" borderId="1" xfId="5" applyNumberFormat="1" applyFont="1" applyFill="1" applyBorder="1" applyAlignment="1" applyProtection="1">
      <alignment horizontal="center" vertical="center"/>
    </xf>
    <xf numFmtId="168" fontId="15" fillId="21" borderId="1" xfId="5" applyNumberFormat="1" applyFont="1" applyFill="1" applyBorder="1" applyAlignment="1" applyProtection="1">
      <alignment horizontal="center" vertical="center"/>
      <protection locked="0"/>
    </xf>
    <xf numFmtId="0" fontId="15" fillId="0" borderId="0" xfId="13" applyFont="1" applyAlignment="1">
      <alignment horizontal="left" vertical="center"/>
    </xf>
    <xf numFmtId="0" fontId="15" fillId="21" borderId="23" xfId="13" applyFont="1" applyFill="1" applyBorder="1" applyAlignment="1" applyProtection="1">
      <alignment vertical="center"/>
      <protection locked="0"/>
    </xf>
    <xf numFmtId="169" fontId="15" fillId="21" borderId="23" xfId="14" applyNumberFormat="1" applyFont="1" applyFill="1" applyBorder="1" applyAlignment="1" applyProtection="1">
      <alignment horizontal="center" vertical="center"/>
      <protection locked="0"/>
    </xf>
    <xf numFmtId="0" fontId="14" fillId="0" borderId="15" xfId="13" applyFont="1" applyBorder="1" applyAlignment="1">
      <alignment vertical="center"/>
    </xf>
    <xf numFmtId="169" fontId="15" fillId="0" borderId="15" xfId="13" applyNumberFormat="1" applyFont="1" applyBorder="1" applyAlignment="1">
      <alignment vertical="center"/>
    </xf>
    <xf numFmtId="171" fontId="15" fillId="0" borderId="0" xfId="13" applyNumberFormat="1" applyFont="1" applyAlignment="1">
      <alignment vertical="center"/>
    </xf>
    <xf numFmtId="0" fontId="14" fillId="0" borderId="7" xfId="13" applyFont="1" applyBorder="1" applyAlignment="1">
      <alignment horizontal="left" vertical="center"/>
    </xf>
    <xf numFmtId="0" fontId="15" fillId="0" borderId="7" xfId="13" applyFont="1" applyBorder="1" applyAlignment="1">
      <alignment vertical="center"/>
    </xf>
    <xf numFmtId="169" fontId="15" fillId="0" borderId="7" xfId="13" applyNumberFormat="1" applyFont="1" applyBorder="1" applyAlignment="1">
      <alignment vertical="center"/>
    </xf>
    <xf numFmtId="171" fontId="15" fillId="0" borderId="7" xfId="13" applyNumberFormat="1" applyFont="1" applyBorder="1" applyAlignment="1">
      <alignment vertical="center"/>
    </xf>
    <xf numFmtId="0" fontId="15" fillId="0" borderId="7" xfId="13" applyFont="1" applyBorder="1" applyAlignment="1">
      <alignment vertical="center" wrapText="1"/>
    </xf>
    <xf numFmtId="0" fontId="15" fillId="0" borderId="60" xfId="13" applyFont="1" applyBorder="1" applyAlignment="1">
      <alignment vertical="center"/>
    </xf>
    <xf numFmtId="42" fontId="14" fillId="20" borderId="15" xfId="1" applyNumberFormat="1" applyFont="1" applyFill="1" applyBorder="1" applyAlignment="1">
      <alignment vertical="center"/>
    </xf>
    <xf numFmtId="0" fontId="39" fillId="4" borderId="0" xfId="0" applyFont="1" applyFill="1" applyAlignment="1">
      <alignment horizontal="left" vertical="center"/>
    </xf>
    <xf numFmtId="0" fontId="43" fillId="4" borderId="0" xfId="0" applyFont="1" applyFill="1" applyAlignment="1">
      <alignment horizontal="left" vertical="center"/>
    </xf>
    <xf numFmtId="0" fontId="44" fillId="4" borderId="0" xfId="0" quotePrefix="1" applyFont="1" applyFill="1" applyAlignment="1">
      <alignment horizontal="left" vertical="center"/>
    </xf>
    <xf numFmtId="0" fontId="44" fillId="4" borderId="0" xfId="0" applyFont="1" applyFill="1" applyAlignment="1">
      <alignment horizontal="left" vertical="center"/>
    </xf>
    <xf numFmtId="0" fontId="11" fillId="7" borderId="8" xfId="0" applyFont="1" applyFill="1" applyBorder="1" applyAlignment="1">
      <alignment horizontal="left" vertical="center"/>
    </xf>
    <xf numFmtId="0" fontId="29" fillId="7" borderId="8" xfId="0" quotePrefix="1" applyFont="1" applyFill="1" applyBorder="1" applyAlignment="1">
      <alignment horizontal="left" vertical="center"/>
    </xf>
    <xf numFmtId="0" fontId="29" fillId="7" borderId="8" xfId="0" applyFont="1" applyFill="1" applyBorder="1" applyAlignment="1">
      <alignment horizontal="left" vertical="center"/>
    </xf>
    <xf numFmtId="0" fontId="29" fillId="7" borderId="8" xfId="13" applyFont="1" applyFill="1" applyBorder="1" applyAlignment="1">
      <alignment vertical="center"/>
    </xf>
    <xf numFmtId="171" fontId="29" fillId="7" borderId="8" xfId="13" applyNumberFormat="1" applyFont="1" applyFill="1" applyBorder="1" applyAlignment="1">
      <alignment horizontal="center" vertical="center"/>
    </xf>
    <xf numFmtId="171" fontId="29" fillId="7" borderId="9" xfId="13" applyNumberFormat="1" applyFont="1" applyFill="1" applyBorder="1" applyAlignment="1">
      <alignment horizontal="center" vertical="center"/>
    </xf>
    <xf numFmtId="0" fontId="41" fillId="0" borderId="2" xfId="0" applyFont="1" applyBorder="1" applyAlignment="1">
      <alignment vertical="center"/>
    </xf>
    <xf numFmtId="0" fontId="49" fillId="0" borderId="8" xfId="0" applyFont="1" applyBorder="1" applyAlignment="1">
      <alignment vertical="center"/>
    </xf>
    <xf numFmtId="0" fontId="49" fillId="0" borderId="9" xfId="0" applyFont="1" applyBorder="1" applyAlignment="1">
      <alignment vertical="center"/>
    </xf>
    <xf numFmtId="0" fontId="29" fillId="10" borderId="8" xfId="13" applyFont="1" applyFill="1" applyBorder="1" applyAlignment="1">
      <alignment vertical="center"/>
    </xf>
    <xf numFmtId="171" fontId="29" fillId="10" borderId="9" xfId="13" applyNumberFormat="1" applyFont="1" applyFill="1" applyBorder="1" applyAlignment="1">
      <alignment horizontal="center" vertical="center"/>
    </xf>
    <xf numFmtId="0" fontId="18" fillId="3" borderId="0" xfId="13" applyFont="1" applyFill="1" applyAlignment="1">
      <alignment vertical="center"/>
    </xf>
    <xf numFmtId="0" fontId="18" fillId="0" borderId="0" xfId="13" applyFont="1" applyAlignment="1">
      <alignment vertical="center"/>
    </xf>
    <xf numFmtId="0" fontId="14" fillId="0" borderId="1" xfId="0" applyFont="1" applyBorder="1" applyAlignment="1">
      <alignment vertical="center" wrapText="1"/>
    </xf>
    <xf numFmtId="0" fontId="14" fillId="0" borderId="1" xfId="13" applyFont="1" applyBorder="1" applyAlignment="1">
      <alignment vertical="center" wrapText="1"/>
    </xf>
    <xf numFmtId="0" fontId="14" fillId="0" borderId="2" xfId="13" applyFont="1" applyBorder="1" applyAlignment="1">
      <alignment vertical="center" wrapText="1"/>
    </xf>
    <xf numFmtId="0" fontId="18" fillId="7" borderId="7" xfId="0" applyFont="1" applyFill="1" applyBorder="1" applyAlignment="1">
      <alignment horizontal="center" vertical="center" wrapText="1"/>
    </xf>
    <xf numFmtId="0" fontId="18" fillId="7" borderId="7" xfId="0" applyFont="1" applyFill="1" applyBorder="1" applyAlignment="1">
      <alignment horizontal="left" vertical="center" wrapText="1"/>
    </xf>
    <xf numFmtId="0" fontId="18" fillId="0" borderId="7" xfId="13" applyFont="1" applyBorder="1" applyAlignment="1">
      <alignment vertical="center" wrapText="1"/>
    </xf>
    <xf numFmtId="0" fontId="18" fillId="0" borderId="7" xfId="13" applyFont="1" applyBorder="1" applyAlignment="1">
      <alignment vertical="center"/>
    </xf>
    <xf numFmtId="0" fontId="18" fillId="0" borderId="60" xfId="13" applyFont="1" applyBorder="1" applyAlignment="1">
      <alignment vertical="center"/>
    </xf>
    <xf numFmtId="0" fontId="29"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28" fillId="0" borderId="0" xfId="0" quotePrefix="1" applyFont="1" applyAlignment="1">
      <alignment horizontal="left" vertical="center"/>
    </xf>
    <xf numFmtId="0" fontId="28" fillId="0" borderId="0" xfId="0" applyFont="1" applyAlignment="1">
      <alignment horizontal="left" vertical="center"/>
    </xf>
    <xf numFmtId="0" fontId="14" fillId="0" borderId="14" xfId="13" applyFont="1" applyBorder="1" applyAlignment="1">
      <alignment horizontal="center" vertical="center"/>
    </xf>
    <xf numFmtId="168" fontId="14" fillId="0" borderId="0" xfId="13" applyNumberFormat="1" applyFont="1" applyAlignment="1">
      <alignment vertical="center"/>
    </xf>
    <xf numFmtId="0" fontId="85" fillId="0" borderId="0" xfId="13" applyFont="1" applyAlignment="1">
      <alignment horizontal="center" vertical="center"/>
    </xf>
    <xf numFmtId="42" fontId="14" fillId="0" borderId="0" xfId="1" applyNumberFormat="1" applyFont="1" applyFill="1" applyBorder="1" applyAlignment="1">
      <alignment vertical="center"/>
    </xf>
    <xf numFmtId="168" fontId="9" fillId="0" borderId="1" xfId="0" applyNumberFormat="1" applyFont="1" applyBorder="1" applyAlignment="1">
      <alignment vertical="center"/>
    </xf>
    <xf numFmtId="171" fontId="14" fillId="0" borderId="7" xfId="13" applyNumberFormat="1" applyFont="1" applyBorder="1" applyAlignment="1">
      <alignment vertical="center"/>
    </xf>
    <xf numFmtId="0" fontId="15" fillId="0" borderId="7" xfId="0" applyFont="1" applyBorder="1" applyAlignment="1">
      <alignment vertical="center"/>
    </xf>
    <xf numFmtId="0" fontId="15" fillId="0" borderId="7" xfId="0" applyFont="1" applyBorder="1" applyAlignment="1">
      <alignment vertical="center" wrapText="1"/>
    </xf>
    <xf numFmtId="0" fontId="15" fillId="0" borderId="60" xfId="0" applyFont="1" applyBorder="1" applyAlignment="1">
      <alignment vertical="center"/>
    </xf>
    <xf numFmtId="0" fontId="15"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4" fillId="0" borderId="7" xfId="13" applyFont="1" applyBorder="1" applyAlignment="1">
      <alignment vertical="center"/>
    </xf>
    <xf numFmtId="169" fontId="14" fillId="0" borderId="0" xfId="1" applyNumberFormat="1" applyFont="1" applyFill="1" applyBorder="1" applyAlignment="1">
      <alignment vertical="center"/>
    </xf>
    <xf numFmtId="171" fontId="29" fillId="10" borderId="8" xfId="13" applyNumberFormat="1" applyFont="1" applyFill="1" applyBorder="1" applyAlignment="1">
      <alignment horizontal="center" vertical="center"/>
    </xf>
    <xf numFmtId="0" fontId="29" fillId="0" borderId="0" xfId="13" applyFont="1" applyAlignment="1">
      <alignment vertical="center" wrapText="1"/>
    </xf>
    <xf numFmtId="0" fontId="15" fillId="0" borderId="2" xfId="13" applyFont="1" applyBorder="1" applyAlignment="1">
      <alignment horizontal="center" vertical="center"/>
    </xf>
    <xf numFmtId="0" fontId="15" fillId="0" borderId="8" xfId="13" applyFont="1" applyBorder="1" applyAlignment="1">
      <alignment horizontal="center" vertical="center"/>
    </xf>
    <xf numFmtId="0" fontId="15" fillId="0" borderId="8" xfId="13" applyFont="1" applyBorder="1" applyAlignment="1">
      <alignment vertical="center"/>
    </xf>
    <xf numFmtId="171" fontId="15" fillId="0" borderId="8" xfId="13" applyNumberFormat="1" applyFont="1" applyBorder="1" applyAlignment="1">
      <alignment vertical="center"/>
    </xf>
    <xf numFmtId="0" fontId="15" fillId="0" borderId="5" xfId="13" applyFont="1" applyBorder="1" applyAlignment="1">
      <alignment vertical="center"/>
    </xf>
    <xf numFmtId="0" fontId="15" fillId="0" borderId="5" xfId="13" applyFont="1" applyBorder="1" applyAlignment="1">
      <alignment vertical="center" wrapText="1"/>
    </xf>
    <xf numFmtId="0" fontId="18" fillId="0" borderId="23" xfId="13" applyFont="1" applyBorder="1" applyAlignment="1">
      <alignment vertical="center"/>
    </xf>
    <xf numFmtId="0" fontId="15" fillId="21" borderId="2" xfId="13" applyFont="1" applyFill="1" applyBorder="1" applyAlignment="1">
      <alignment horizontal="left" vertical="center"/>
    </xf>
    <xf numFmtId="0" fontId="15" fillId="21" borderId="8" xfId="13" applyFont="1" applyFill="1" applyBorder="1" applyAlignment="1">
      <alignment horizontal="left" vertical="center"/>
    </xf>
    <xf numFmtId="0" fontId="15" fillId="21" borderId="8" xfId="13" applyFont="1" applyFill="1" applyBorder="1" applyAlignment="1">
      <alignment vertical="center"/>
    </xf>
    <xf numFmtId="0" fontId="82" fillId="21" borderId="24" xfId="13" applyFont="1" applyFill="1" applyBorder="1" applyAlignment="1">
      <alignment horizontal="right" vertical="center"/>
    </xf>
    <xf numFmtId="169" fontId="15" fillId="0" borderId="0" xfId="1" applyNumberFormat="1" applyFont="1" applyFill="1" applyBorder="1" applyAlignment="1">
      <alignment vertical="center"/>
    </xf>
    <xf numFmtId="169" fontId="15" fillId="0" borderId="0" xfId="1" applyNumberFormat="1" applyFont="1" applyFill="1" applyAlignment="1" applyProtection="1">
      <alignment vertical="center"/>
    </xf>
    <xf numFmtId="0" fontId="14" fillId="0" borderId="46" xfId="13" applyFont="1" applyBorder="1" applyAlignment="1">
      <alignment vertical="center"/>
    </xf>
    <xf numFmtId="0" fontId="15" fillId="0" borderId="46" xfId="13" applyFont="1" applyBorder="1" applyAlignment="1">
      <alignment vertical="center"/>
    </xf>
    <xf numFmtId="169" fontId="14" fillId="11" borderId="15" xfId="1" applyNumberFormat="1" applyFont="1" applyFill="1" applyBorder="1" applyAlignment="1" applyProtection="1">
      <alignment vertical="center"/>
    </xf>
    <xf numFmtId="0" fontId="28" fillId="4" borderId="0" xfId="13" applyFont="1" applyFill="1" applyAlignment="1">
      <alignment vertical="center"/>
    </xf>
    <xf numFmtId="169" fontId="28" fillId="4" borderId="0" xfId="1" applyNumberFormat="1" applyFont="1" applyFill="1" applyAlignment="1">
      <alignment vertical="center"/>
    </xf>
    <xf numFmtId="0" fontId="15" fillId="3" borderId="0" xfId="0" applyFont="1" applyFill="1" applyAlignment="1">
      <alignment horizontal="left" vertical="center" wrapText="1"/>
    </xf>
    <xf numFmtId="0" fontId="15" fillId="0" borderId="2" xfId="0" applyFont="1" applyBorder="1" applyAlignment="1">
      <alignment vertical="center"/>
    </xf>
    <xf numFmtId="0" fontId="15" fillId="0" borderId="8" xfId="0" applyFont="1" applyBorder="1" applyAlignment="1">
      <alignment vertical="center"/>
    </xf>
    <xf numFmtId="169" fontId="15" fillId="20" borderId="1" xfId="7" applyNumberFormat="1" applyFont="1" applyFill="1" applyBorder="1" applyAlignment="1" applyProtection="1">
      <alignment vertical="center"/>
    </xf>
    <xf numFmtId="169" fontId="15" fillId="0" borderId="0" xfId="7" applyNumberFormat="1" applyFont="1" applyFill="1" applyBorder="1" applyAlignment="1" applyProtection="1">
      <alignment vertical="center"/>
    </xf>
    <xf numFmtId="0" fontId="15" fillId="0" borderId="5" xfId="0" applyFont="1" applyBorder="1" applyAlignment="1">
      <alignment vertical="center"/>
    </xf>
    <xf numFmtId="0" fontId="15" fillId="0" borderId="12" xfId="13" applyFont="1" applyBorder="1" applyAlignment="1">
      <alignment vertical="center"/>
    </xf>
    <xf numFmtId="0" fontId="15" fillId="0" borderId="12" xfId="0" applyFont="1" applyBorder="1" applyAlignment="1">
      <alignment vertical="center"/>
    </xf>
    <xf numFmtId="0" fontId="18" fillId="0" borderId="12" xfId="0" applyFont="1" applyBorder="1" applyAlignment="1">
      <alignment vertical="center"/>
    </xf>
    <xf numFmtId="0" fontId="15" fillId="0" borderId="11" xfId="0" applyFont="1" applyBorder="1" applyAlignment="1">
      <alignment vertical="center"/>
    </xf>
    <xf numFmtId="0" fontId="14" fillId="0" borderId="12" xfId="0" applyFont="1" applyBorder="1" applyAlignment="1">
      <alignment vertical="center"/>
    </xf>
    <xf numFmtId="44" fontId="15" fillId="0" borderId="0" xfId="13" applyNumberFormat="1" applyFont="1" applyAlignment="1">
      <alignment vertical="center"/>
    </xf>
    <xf numFmtId="169" fontId="15" fillId="20" borderId="1" xfId="0" applyNumberFormat="1" applyFont="1" applyFill="1" applyBorder="1" applyAlignment="1">
      <alignment vertical="center"/>
    </xf>
    <xf numFmtId="44" fontId="35" fillId="0" borderId="0" xfId="0" applyNumberFormat="1" applyFont="1" applyAlignment="1">
      <alignment vertical="center" wrapText="1"/>
    </xf>
    <xf numFmtId="0" fontId="15" fillId="7" borderId="0" xfId="13" applyFont="1" applyFill="1" applyAlignment="1">
      <alignment vertical="center"/>
    </xf>
    <xf numFmtId="0" fontId="15" fillId="7" borderId="0" xfId="0" applyFont="1" applyFill="1" applyAlignment="1">
      <alignment vertical="center"/>
    </xf>
    <xf numFmtId="169" fontId="15" fillId="7" borderId="0" xfId="0" applyNumberFormat="1" applyFont="1" applyFill="1" applyAlignment="1">
      <alignment vertical="center"/>
    </xf>
    <xf numFmtId="0" fontId="35" fillId="7" borderId="0" xfId="0" applyFont="1" applyFill="1" applyAlignment="1">
      <alignment vertical="center" wrapText="1"/>
    </xf>
    <xf numFmtId="0" fontId="15" fillId="0" borderId="8" xfId="0" applyFont="1" applyBorder="1" applyAlignment="1">
      <alignment horizontal="right" vertical="center"/>
    </xf>
    <xf numFmtId="169" fontId="15" fillId="20" borderId="1" xfId="14" applyNumberFormat="1" applyFont="1" applyFill="1" applyBorder="1" applyAlignment="1">
      <alignment horizontal="left" vertical="center"/>
    </xf>
    <xf numFmtId="0" fontId="15" fillId="0" borderId="8" xfId="13" applyFont="1" applyBorder="1" applyAlignment="1">
      <alignment horizontal="right" vertical="center"/>
    </xf>
    <xf numFmtId="171" fontId="15" fillId="7" borderId="0" xfId="13" applyNumberFormat="1" applyFont="1" applyFill="1" applyAlignment="1">
      <alignment vertical="center"/>
    </xf>
    <xf numFmtId="0" fontId="15" fillId="7" borderId="0" xfId="0" applyFont="1" applyFill="1" applyAlignment="1">
      <alignment horizontal="right" vertical="center"/>
    </xf>
    <xf numFmtId="168" fontId="15" fillId="7" borderId="0" xfId="5" applyNumberFormat="1" applyFont="1" applyFill="1" applyBorder="1" applyAlignment="1">
      <alignment horizontal="left" vertical="center"/>
    </xf>
    <xf numFmtId="169" fontId="15" fillId="7" borderId="0" xfId="14" applyNumberFormat="1" applyFont="1" applyFill="1" applyBorder="1" applyAlignment="1">
      <alignment horizontal="left" vertical="center"/>
    </xf>
    <xf numFmtId="0" fontId="15" fillId="7" borderId="0" xfId="13" applyFont="1" applyFill="1" applyAlignment="1">
      <alignment horizontal="right" vertical="center"/>
    </xf>
    <xf numFmtId="0" fontId="14" fillId="0" borderId="4" xfId="0" applyFont="1" applyBorder="1" applyAlignment="1">
      <alignment vertical="center"/>
    </xf>
    <xf numFmtId="0" fontId="82" fillId="0" borderId="5" xfId="0" applyFont="1" applyBorder="1" applyAlignment="1">
      <alignment horizontal="right" vertical="center"/>
    </xf>
    <xf numFmtId="0" fontId="14" fillId="0" borderId="11" xfId="0" applyFont="1" applyBorder="1" applyAlignment="1">
      <alignment vertical="center"/>
    </xf>
    <xf numFmtId="0" fontId="82" fillId="0" borderId="12" xfId="0" applyFont="1" applyBorder="1" applyAlignment="1">
      <alignment horizontal="right" vertical="center"/>
    </xf>
    <xf numFmtId="169" fontId="12" fillId="4" borderId="0" xfId="1" applyNumberFormat="1" applyFont="1" applyFill="1" applyAlignment="1">
      <alignment vertical="center"/>
    </xf>
    <xf numFmtId="0" fontId="13" fillId="7" borderId="0" xfId="13" applyFont="1" applyFill="1" applyAlignment="1">
      <alignment vertical="center"/>
    </xf>
    <xf numFmtId="0" fontId="17" fillId="7" borderId="0" xfId="13" applyFont="1" applyFill="1" applyAlignment="1">
      <alignment vertical="center"/>
    </xf>
    <xf numFmtId="169" fontId="13" fillId="7" borderId="0" xfId="1" applyNumberFormat="1" applyFont="1" applyFill="1" applyAlignment="1">
      <alignment vertical="center"/>
    </xf>
    <xf numFmtId="0" fontId="15" fillId="0" borderId="2" xfId="0" applyFont="1" applyBorder="1" applyAlignment="1">
      <alignment horizontal="left" vertical="center"/>
    </xf>
    <xf numFmtId="0" fontId="15" fillId="0" borderId="11" xfId="0" applyFont="1" applyBorder="1" applyAlignment="1">
      <alignment horizontal="left" vertical="center"/>
    </xf>
    <xf numFmtId="0" fontId="14" fillId="24" borderId="11" xfId="0" applyFont="1" applyFill="1" applyBorder="1" applyAlignment="1">
      <alignment horizontal="left" vertical="center"/>
    </xf>
    <xf numFmtId="0" fontId="14" fillId="24" borderId="12" xfId="0" applyFont="1" applyFill="1" applyBorder="1" applyAlignment="1">
      <alignment horizontal="left" vertical="center"/>
    </xf>
    <xf numFmtId="0" fontId="14" fillId="24" borderId="12" xfId="0" applyFont="1" applyFill="1" applyBorder="1" applyAlignment="1">
      <alignment horizontal="right" vertical="center"/>
    </xf>
    <xf numFmtId="169" fontId="14" fillId="0" borderId="0" xfId="1" applyNumberFormat="1" applyFont="1" applyFill="1" applyAlignment="1">
      <alignment vertical="center"/>
    </xf>
    <xf numFmtId="0" fontId="15" fillId="21" borderId="4" xfId="0" applyFont="1" applyFill="1" applyBorder="1" applyAlignment="1" applyProtection="1">
      <alignment vertical="center"/>
      <protection locked="0"/>
    </xf>
    <xf numFmtId="0" fontId="15" fillId="21" borderId="5" xfId="0" applyFont="1" applyFill="1" applyBorder="1" applyAlignment="1" applyProtection="1">
      <alignment vertical="center"/>
      <protection locked="0"/>
    </xf>
    <xf numFmtId="0" fontId="15" fillId="21" borderId="6" xfId="0" applyFont="1" applyFill="1" applyBorder="1" applyAlignment="1" applyProtection="1">
      <alignment vertical="center"/>
      <protection locked="0"/>
    </xf>
    <xf numFmtId="0" fontId="15" fillId="21" borderId="10" xfId="0" applyFont="1" applyFill="1" applyBorder="1" applyAlignment="1" applyProtection="1">
      <alignment vertical="center"/>
      <protection locked="0"/>
    </xf>
    <xf numFmtId="0" fontId="15" fillId="21" borderId="0" xfId="0" applyFont="1" applyFill="1" applyAlignment="1" applyProtection="1">
      <alignment vertical="center"/>
      <protection locked="0"/>
    </xf>
    <xf numFmtId="0" fontId="15" fillId="21" borderId="42" xfId="0" applyFont="1" applyFill="1" applyBorder="1" applyAlignment="1" applyProtection="1">
      <alignment vertical="center"/>
      <protection locked="0"/>
    </xf>
    <xf numFmtId="0" fontId="15" fillId="21" borderId="11" xfId="0" applyFont="1" applyFill="1" applyBorder="1" applyAlignment="1" applyProtection="1">
      <alignment vertical="center"/>
      <protection locked="0"/>
    </xf>
    <xf numFmtId="0" fontId="15" fillId="21" borderId="12" xfId="0" applyFont="1" applyFill="1" applyBorder="1" applyAlignment="1" applyProtection="1">
      <alignment vertical="center"/>
      <protection locked="0"/>
    </xf>
    <xf numFmtId="0" fontId="15" fillId="21" borderId="43" xfId="0" applyFont="1" applyFill="1" applyBorder="1" applyAlignment="1" applyProtection="1">
      <alignment vertical="center"/>
      <protection locked="0"/>
    </xf>
    <xf numFmtId="0" fontId="14" fillId="0" borderId="0" xfId="13" applyFont="1" applyAlignment="1">
      <alignment horizontal="right" vertical="center"/>
    </xf>
    <xf numFmtId="169" fontId="15" fillId="20" borderId="0" xfId="7" applyNumberFormat="1" applyFont="1" applyFill="1" applyBorder="1" applyAlignment="1" applyProtection="1">
      <alignment vertical="center"/>
    </xf>
    <xf numFmtId="0" fontId="15" fillId="0" borderId="10" xfId="0" applyFont="1" applyBorder="1" applyAlignment="1">
      <alignment vertical="center"/>
    </xf>
    <xf numFmtId="0" fontId="15" fillId="7" borderId="0" xfId="0" applyFont="1" applyFill="1" applyAlignment="1">
      <alignment horizontal="left" vertical="center"/>
    </xf>
    <xf numFmtId="169" fontId="15" fillId="20" borderId="67" xfId="7" applyNumberFormat="1" applyFont="1" applyFill="1" applyBorder="1" applyAlignment="1" applyProtection="1">
      <alignment vertical="center"/>
    </xf>
    <xf numFmtId="0" fontId="15" fillId="7" borderId="5" xfId="0" applyFont="1" applyFill="1" applyBorder="1" applyAlignment="1">
      <alignment vertical="center"/>
    </xf>
    <xf numFmtId="169" fontId="15" fillId="7" borderId="5" xfId="7" applyNumberFormat="1" applyFont="1" applyFill="1" applyBorder="1" applyAlignment="1" applyProtection="1">
      <alignment vertical="center"/>
    </xf>
    <xf numFmtId="9" fontId="15" fillId="20" borderId="19" xfId="0" applyNumberFormat="1" applyFont="1" applyFill="1" applyBorder="1" applyAlignment="1">
      <alignment vertical="center"/>
    </xf>
    <xf numFmtId="169" fontId="15" fillId="20" borderId="19" xfId="0" applyNumberFormat="1" applyFont="1" applyFill="1" applyBorder="1" applyAlignment="1">
      <alignment vertical="center"/>
    </xf>
    <xf numFmtId="169" fontId="15" fillId="7" borderId="12" xfId="7" applyNumberFormat="1" applyFont="1" applyFill="1" applyBorder="1" applyAlignment="1" applyProtection="1">
      <alignment vertical="center"/>
    </xf>
    <xf numFmtId="168" fontId="35" fillId="0" borderId="0" xfId="5" applyNumberFormat="1" applyFont="1"/>
    <xf numFmtId="177" fontId="88" fillId="0" borderId="0" xfId="16" applyFont="1" applyFill="1" applyBorder="1" applyAlignment="1">
      <alignment vertical="center"/>
    </xf>
    <xf numFmtId="177" fontId="88" fillId="0" borderId="0" xfId="16" applyFont="1" applyBorder="1" applyAlignment="1">
      <alignment vertical="center"/>
    </xf>
    <xf numFmtId="177" fontId="88" fillId="0" borderId="5" xfId="16" applyFont="1" applyBorder="1" applyAlignment="1">
      <alignment vertical="center"/>
    </xf>
    <xf numFmtId="177" fontId="88" fillId="0" borderId="4" xfId="16" applyFont="1" applyBorder="1" applyAlignment="1">
      <alignment vertical="center"/>
    </xf>
    <xf numFmtId="177" fontId="88" fillId="0" borderId="5" xfId="16" applyFont="1" applyFill="1" applyBorder="1" applyAlignment="1">
      <alignment vertical="center"/>
    </xf>
    <xf numFmtId="177" fontId="88" fillId="0" borderId="6" xfId="16" applyFont="1" applyBorder="1" applyAlignment="1">
      <alignment vertical="center"/>
    </xf>
    <xf numFmtId="177" fontId="88" fillId="0" borderId="0" xfId="16" applyFont="1" applyAlignment="1">
      <alignment vertical="center"/>
    </xf>
    <xf numFmtId="177" fontId="89" fillId="0" borderId="0" xfId="16" applyFont="1" applyFill="1" applyBorder="1" applyAlignment="1">
      <alignment vertical="center"/>
    </xf>
    <xf numFmtId="177" fontId="89" fillId="0" borderId="0" xfId="16" applyFont="1" applyBorder="1" applyAlignment="1">
      <alignment vertical="center"/>
    </xf>
    <xf numFmtId="177" fontId="88" fillId="0" borderId="10" xfId="16" applyFont="1" applyBorder="1" applyAlignment="1">
      <alignment vertical="center"/>
    </xf>
    <xf numFmtId="177" fontId="88" fillId="0" borderId="42" xfId="16" applyFont="1" applyBorder="1" applyAlignment="1">
      <alignment vertical="center"/>
    </xf>
    <xf numFmtId="177" fontId="90" fillId="0" borderId="0" xfId="16" applyFont="1" applyBorder="1" applyAlignment="1">
      <alignment vertical="center"/>
    </xf>
    <xf numFmtId="177" fontId="91" fillId="23" borderId="52" xfId="16" applyFont="1" applyFill="1" applyBorder="1" applyAlignment="1">
      <alignment vertical="center"/>
    </xf>
    <xf numFmtId="177" fontId="91" fillId="23" borderId="69" xfId="16" applyFont="1" applyFill="1" applyBorder="1" applyAlignment="1">
      <alignment vertical="center"/>
    </xf>
    <xf numFmtId="177" fontId="91" fillId="23" borderId="53" xfId="16" applyFont="1" applyFill="1" applyBorder="1" applyAlignment="1">
      <alignment vertical="center"/>
    </xf>
    <xf numFmtId="177" fontId="91" fillId="18" borderId="52" xfId="16" applyFont="1" applyFill="1" applyBorder="1" applyAlignment="1">
      <alignment vertical="center"/>
    </xf>
    <xf numFmtId="177" fontId="92" fillId="0" borderId="0" xfId="16" applyFont="1" applyFill="1" applyAlignment="1">
      <alignment vertical="center"/>
    </xf>
    <xf numFmtId="1" fontId="92" fillId="24" borderId="10" xfId="16" applyNumberFormat="1" applyFont="1" applyFill="1" applyBorder="1" applyAlignment="1">
      <alignment vertical="center"/>
    </xf>
    <xf numFmtId="1" fontId="92" fillId="24" borderId="0" xfId="16" applyNumberFormat="1" applyFont="1" applyFill="1" applyAlignment="1">
      <alignment vertical="center"/>
    </xf>
    <xf numFmtId="1" fontId="92" fillId="24" borderId="42" xfId="16" applyNumberFormat="1" applyFont="1" applyFill="1" applyBorder="1" applyAlignment="1">
      <alignment vertical="center"/>
    </xf>
    <xf numFmtId="0" fontId="92" fillId="7" borderId="0" xfId="16" applyNumberFormat="1" applyFont="1" applyFill="1" applyAlignment="1">
      <alignment vertical="center"/>
    </xf>
    <xf numFmtId="177" fontId="92" fillId="24" borderId="10" xfId="16" applyFont="1" applyFill="1" applyBorder="1" applyAlignment="1">
      <alignment vertical="center"/>
    </xf>
    <xf numFmtId="177" fontId="92" fillId="24" borderId="0" xfId="16" applyFont="1" applyFill="1" applyAlignment="1">
      <alignment vertical="center"/>
    </xf>
    <xf numFmtId="177" fontId="92" fillId="24" borderId="42" xfId="16" applyFont="1" applyFill="1" applyBorder="1" applyAlignment="1">
      <alignment vertical="center"/>
    </xf>
    <xf numFmtId="177" fontId="92" fillId="7" borderId="0" xfId="16" applyFont="1" applyFill="1" applyAlignment="1">
      <alignment vertical="center"/>
    </xf>
    <xf numFmtId="177" fontId="91" fillId="0" borderId="0" xfId="16" applyFont="1" applyFill="1" applyAlignment="1">
      <alignment vertical="center"/>
    </xf>
    <xf numFmtId="177" fontId="91" fillId="20" borderId="0" xfId="16" applyFont="1" applyFill="1" applyAlignment="1">
      <alignment vertical="center"/>
    </xf>
    <xf numFmtId="177" fontId="88" fillId="20" borderId="0" xfId="16" applyFont="1" applyFill="1" applyAlignment="1">
      <alignment vertical="center"/>
    </xf>
    <xf numFmtId="0" fontId="93" fillId="0" borderId="10" xfId="0" applyFont="1" applyBorder="1" applyAlignment="1">
      <alignment vertical="center"/>
    </xf>
    <xf numFmtId="0" fontId="93" fillId="0" borderId="0" xfId="0" applyFont="1" applyAlignment="1">
      <alignment vertical="center"/>
    </xf>
    <xf numFmtId="178" fontId="94" fillId="0" borderId="0" xfId="19" applyNumberFormat="1" applyFont="1" applyFill="1" applyAlignment="1">
      <alignment vertical="center"/>
    </xf>
    <xf numFmtId="178" fontId="91" fillId="0" borderId="0" xfId="19" applyNumberFormat="1" applyFont="1" applyAlignment="1">
      <alignment vertical="center"/>
    </xf>
    <xf numFmtId="178" fontId="94" fillId="0" borderId="0" xfId="19" applyNumberFormat="1" applyFont="1" applyAlignment="1">
      <alignment vertical="center"/>
    </xf>
    <xf numFmtId="179" fontId="94" fillId="0" borderId="0" xfId="18" applyFont="1" applyAlignment="1">
      <alignment vertical="center"/>
    </xf>
    <xf numFmtId="178" fontId="94" fillId="0" borderId="10" xfId="19" applyNumberFormat="1" applyFont="1" applyBorder="1" applyAlignment="1">
      <alignment vertical="center"/>
    </xf>
    <xf numFmtId="178" fontId="94" fillId="0" borderId="42" xfId="19" applyNumberFormat="1" applyFont="1" applyBorder="1" applyAlignment="1">
      <alignment vertical="center"/>
    </xf>
    <xf numFmtId="177" fontId="88" fillId="0" borderId="0" xfId="16" applyFont="1" applyFill="1" applyAlignment="1">
      <alignment vertical="center"/>
    </xf>
    <xf numFmtId="178" fontId="88" fillId="0" borderId="0" xfId="16" applyNumberFormat="1" applyFont="1" applyAlignment="1">
      <alignment vertical="center"/>
    </xf>
    <xf numFmtId="178" fontId="94" fillId="0" borderId="0" xfId="16" applyNumberFormat="1" applyFont="1" applyAlignment="1">
      <alignment vertical="center"/>
    </xf>
    <xf numFmtId="177" fontId="94" fillId="0" borderId="0" xfId="19" applyFont="1" applyAlignment="1">
      <alignment vertical="center"/>
    </xf>
    <xf numFmtId="177" fontId="95" fillId="0" borderId="0" xfId="16" applyFont="1" applyFill="1" applyAlignment="1">
      <alignment vertical="center"/>
    </xf>
    <xf numFmtId="177" fontId="95" fillId="0" borderId="0" xfId="16" applyFont="1" applyAlignment="1">
      <alignment vertical="center"/>
    </xf>
    <xf numFmtId="177" fontId="95" fillId="0" borderId="0" xfId="19" applyFont="1" applyAlignment="1">
      <alignment vertical="center"/>
    </xf>
    <xf numFmtId="177" fontId="95" fillId="0" borderId="10" xfId="16" applyFont="1" applyBorder="1" applyAlignment="1">
      <alignment vertical="center"/>
    </xf>
    <xf numFmtId="177" fontId="95" fillId="0" borderId="42" xfId="16" applyFont="1" applyBorder="1" applyAlignment="1">
      <alignment vertical="center"/>
    </xf>
    <xf numFmtId="177" fontId="96" fillId="0" borderId="0" xfId="16" applyFont="1" applyAlignment="1">
      <alignment vertical="center"/>
    </xf>
    <xf numFmtId="177" fontId="96" fillId="0" borderId="10" xfId="16" applyFont="1" applyBorder="1" applyAlignment="1">
      <alignment vertical="center"/>
    </xf>
    <xf numFmtId="177" fontId="96" fillId="0" borderId="42" xfId="16" applyFont="1" applyBorder="1" applyAlignment="1">
      <alignment vertical="center"/>
    </xf>
    <xf numFmtId="178" fontId="88" fillId="0" borderId="0" xfId="16" applyNumberFormat="1" applyFont="1" applyFill="1" applyAlignment="1">
      <alignment vertical="center"/>
    </xf>
    <xf numFmtId="177" fontId="94" fillId="0" borderId="0" xfId="16" applyFont="1" applyAlignment="1">
      <alignment vertical="center"/>
    </xf>
    <xf numFmtId="177" fontId="91" fillId="0" borderId="0" xfId="16" applyFont="1" applyAlignment="1">
      <alignment vertical="center"/>
    </xf>
    <xf numFmtId="177" fontId="94" fillId="0" borderId="10" xfId="19" applyFont="1" applyBorder="1" applyAlignment="1">
      <alignment vertical="center"/>
    </xf>
    <xf numFmtId="177" fontId="94" fillId="0" borderId="42" xfId="19" applyFont="1" applyBorder="1" applyAlignment="1">
      <alignment vertical="center"/>
    </xf>
    <xf numFmtId="178" fontId="96" fillId="0" borderId="0" xfId="16" applyNumberFormat="1" applyFont="1" applyAlignment="1">
      <alignment vertical="center"/>
    </xf>
    <xf numFmtId="178" fontId="94" fillId="0" borderId="0" xfId="16" applyNumberFormat="1" applyFont="1" applyFill="1" applyAlignment="1">
      <alignment vertical="center"/>
    </xf>
    <xf numFmtId="177" fontId="94" fillId="0" borderId="0" xfId="19" applyFont="1" applyFill="1" applyAlignment="1">
      <alignment vertical="center"/>
    </xf>
    <xf numFmtId="178" fontId="96" fillId="0" borderId="0" xfId="16" applyNumberFormat="1" applyFont="1" applyFill="1" applyAlignment="1">
      <alignment vertical="center"/>
    </xf>
    <xf numFmtId="177" fontId="96" fillId="0" borderId="0" xfId="16" applyFont="1" applyFill="1" applyAlignment="1">
      <alignment vertical="center"/>
    </xf>
    <xf numFmtId="177" fontId="96" fillId="0" borderId="10" xfId="16" applyFont="1" applyFill="1" applyBorder="1" applyAlignment="1">
      <alignment vertical="center"/>
    </xf>
    <xf numFmtId="177" fontId="96" fillId="0" borderId="42" xfId="16" applyFont="1" applyFill="1" applyBorder="1" applyAlignment="1">
      <alignment vertical="center"/>
    </xf>
    <xf numFmtId="177" fontId="94" fillId="0" borderId="10" xfId="16" applyFont="1" applyBorder="1" applyAlignment="1">
      <alignment vertical="center"/>
    </xf>
    <xf numFmtId="177" fontId="94" fillId="0" borderId="42" xfId="16" applyFont="1" applyBorder="1" applyAlignment="1">
      <alignment vertical="center"/>
    </xf>
    <xf numFmtId="177" fontId="94" fillId="0" borderId="0" xfId="16" applyFont="1" applyFill="1" applyAlignment="1">
      <alignment vertical="center"/>
    </xf>
    <xf numFmtId="177" fontId="94" fillId="0" borderId="10" xfId="16" applyFont="1" applyFill="1" applyBorder="1" applyAlignment="1">
      <alignment vertical="center"/>
    </xf>
    <xf numFmtId="177" fontId="94" fillId="0" borderId="42" xfId="16" applyFont="1" applyFill="1" applyBorder="1" applyAlignment="1">
      <alignment vertical="center"/>
    </xf>
    <xf numFmtId="177" fontId="92" fillId="0" borderId="0" xfId="19" applyFont="1" applyFill="1" applyAlignment="1">
      <alignment vertical="center"/>
    </xf>
    <xf numFmtId="177" fontId="92" fillId="0" borderId="0" xfId="19" applyFont="1" applyAlignment="1">
      <alignment vertical="center"/>
    </xf>
    <xf numFmtId="177" fontId="92" fillId="0" borderId="10" xfId="19" applyFont="1" applyBorder="1" applyAlignment="1">
      <alignment vertical="center"/>
    </xf>
    <xf numFmtId="177" fontId="92" fillId="0" borderId="42" xfId="19" applyFont="1" applyBorder="1" applyAlignment="1">
      <alignment vertical="center"/>
    </xf>
    <xf numFmtId="167" fontId="88" fillId="0" borderId="0" xfId="5" applyFont="1" applyFill="1" applyAlignment="1">
      <alignment vertical="center"/>
    </xf>
    <xf numFmtId="178" fontId="92" fillId="0" borderId="0" xfId="16" applyNumberFormat="1" applyFont="1" applyAlignment="1">
      <alignment vertical="center"/>
    </xf>
    <xf numFmtId="177" fontId="91" fillId="0" borderId="10" xfId="16" applyFont="1" applyBorder="1" applyAlignment="1">
      <alignment vertical="center"/>
    </xf>
    <xf numFmtId="177" fontId="91" fillId="0" borderId="42" xfId="16" applyFont="1" applyBorder="1" applyAlignment="1">
      <alignment vertical="center"/>
    </xf>
    <xf numFmtId="181" fontId="94" fillId="0" borderId="0" xfId="20" applyNumberFormat="1" applyFont="1" applyAlignment="1">
      <alignment vertical="center"/>
    </xf>
    <xf numFmtId="177" fontId="92" fillId="0" borderId="0" xfId="16" applyFont="1" applyAlignment="1">
      <alignment vertical="center"/>
    </xf>
    <xf numFmtId="177" fontId="92" fillId="0" borderId="10" xfId="16" applyFont="1" applyBorder="1" applyAlignment="1">
      <alignment vertical="center"/>
    </xf>
    <xf numFmtId="177" fontId="92" fillId="0" borderId="42" xfId="16" applyFont="1" applyBorder="1" applyAlignment="1">
      <alignment vertical="center"/>
    </xf>
    <xf numFmtId="178" fontId="96" fillId="0" borderId="0" xfId="19" applyNumberFormat="1" applyFont="1" applyAlignment="1">
      <alignment vertical="center"/>
    </xf>
    <xf numFmtId="177" fontId="96" fillId="0" borderId="0" xfId="19" applyFont="1" applyAlignment="1">
      <alignment vertical="center"/>
    </xf>
    <xf numFmtId="177" fontId="96" fillId="0" borderId="10" xfId="19" applyFont="1" applyBorder="1" applyAlignment="1">
      <alignment vertical="center"/>
    </xf>
    <xf numFmtId="177" fontId="96" fillId="0" borderId="42" xfId="19" applyFont="1" applyBorder="1" applyAlignment="1">
      <alignment vertical="center"/>
    </xf>
    <xf numFmtId="178" fontId="92" fillId="0" borderId="0" xfId="16" applyNumberFormat="1" applyFont="1" applyFill="1" applyAlignment="1">
      <alignment vertical="center"/>
    </xf>
    <xf numFmtId="177" fontId="88" fillId="0" borderId="10" xfId="16" applyFont="1" applyFill="1" applyBorder="1" applyAlignment="1">
      <alignment vertical="center"/>
    </xf>
    <xf numFmtId="177" fontId="88" fillId="0" borderId="42" xfId="16" applyFont="1" applyFill="1" applyBorder="1" applyAlignment="1">
      <alignment vertical="center"/>
    </xf>
    <xf numFmtId="179" fontId="94" fillId="0" borderId="10" xfId="18" applyFont="1" applyBorder="1" applyAlignment="1">
      <alignment vertical="center"/>
    </xf>
    <xf numFmtId="179" fontId="94" fillId="0" borderId="42" xfId="18" applyFont="1" applyBorder="1" applyAlignment="1">
      <alignment vertical="center"/>
    </xf>
    <xf numFmtId="177" fontId="92" fillId="0" borderId="0" xfId="16" applyFont="1" applyBorder="1" applyAlignment="1">
      <alignment vertical="center"/>
    </xf>
    <xf numFmtId="177" fontId="95" fillId="0" borderId="10" xfId="16" applyFont="1" applyFill="1" applyBorder="1" applyAlignment="1">
      <alignment vertical="center"/>
    </xf>
    <xf numFmtId="177" fontId="95" fillId="0" borderId="42" xfId="16" applyFont="1" applyFill="1" applyBorder="1" applyAlignment="1">
      <alignment vertical="center"/>
    </xf>
    <xf numFmtId="178" fontId="95" fillId="0" borderId="0" xfId="16" applyNumberFormat="1" applyFont="1" applyFill="1" applyAlignment="1">
      <alignment vertical="center"/>
    </xf>
    <xf numFmtId="177" fontId="97" fillId="0" borderId="0" xfId="16" applyFont="1" applyBorder="1" applyAlignment="1">
      <alignment vertical="center"/>
    </xf>
    <xf numFmtId="179" fontId="95" fillId="0" borderId="0" xfId="18" applyFont="1" applyAlignment="1">
      <alignment vertical="center"/>
    </xf>
    <xf numFmtId="179" fontId="95" fillId="0" borderId="0" xfId="18" applyFont="1" applyFill="1" applyAlignment="1">
      <alignment vertical="center"/>
    </xf>
    <xf numFmtId="179" fontId="94" fillId="0" borderId="0" xfId="18" applyFont="1" applyFill="1" applyAlignment="1">
      <alignment vertical="center"/>
    </xf>
    <xf numFmtId="177" fontId="98" fillId="0" borderId="0" xfId="16" applyFont="1" applyAlignment="1">
      <alignment vertical="center"/>
    </xf>
    <xf numFmtId="178" fontId="94" fillId="0" borderId="61" xfId="19" applyNumberFormat="1" applyFont="1" applyFill="1" applyBorder="1" applyAlignment="1">
      <alignment vertical="center"/>
    </xf>
    <xf numFmtId="177" fontId="92" fillId="0" borderId="61" xfId="19" applyFont="1" applyFill="1" applyBorder="1" applyAlignment="1">
      <alignment vertical="center"/>
    </xf>
    <xf numFmtId="177" fontId="94" fillId="0" borderId="61" xfId="19" applyFont="1" applyFill="1" applyBorder="1" applyAlignment="1">
      <alignment vertical="center"/>
    </xf>
    <xf numFmtId="177" fontId="94" fillId="0" borderId="70" xfId="19" applyFont="1" applyFill="1" applyBorder="1" applyAlignment="1">
      <alignment vertical="center"/>
    </xf>
    <xf numFmtId="177" fontId="94" fillId="0" borderId="68" xfId="19" applyFont="1" applyFill="1" applyBorder="1" applyAlignment="1">
      <alignment vertical="center"/>
    </xf>
    <xf numFmtId="178" fontId="96" fillId="0" borderId="10" xfId="19" applyNumberFormat="1" applyFont="1" applyBorder="1" applyAlignment="1">
      <alignment vertical="center"/>
    </xf>
    <xf numFmtId="178" fontId="96" fillId="0" borderId="42" xfId="19" applyNumberFormat="1" applyFont="1" applyBorder="1" applyAlignment="1">
      <alignment vertical="center"/>
    </xf>
    <xf numFmtId="177" fontId="99" fillId="0" borderId="0" xfId="16" applyFont="1" applyAlignment="1">
      <alignment vertical="center"/>
    </xf>
    <xf numFmtId="177" fontId="92" fillId="0" borderId="12" xfId="19" applyFont="1" applyBorder="1" applyAlignment="1">
      <alignment vertical="center"/>
    </xf>
    <xf numFmtId="178" fontId="94" fillId="0" borderId="12" xfId="16" applyNumberFormat="1" applyFont="1" applyBorder="1" applyAlignment="1">
      <alignment vertical="center"/>
    </xf>
    <xf numFmtId="177" fontId="94" fillId="0" borderId="12" xfId="19" applyFont="1" applyBorder="1" applyAlignment="1">
      <alignment vertical="center"/>
    </xf>
    <xf numFmtId="178" fontId="94" fillId="0" borderId="61" xfId="16" applyNumberFormat="1" applyFont="1" applyBorder="1" applyAlignment="1">
      <alignment vertical="center"/>
    </xf>
    <xf numFmtId="0" fontId="15" fillId="0" borderId="0" xfId="11" applyFont="1" applyAlignment="1">
      <alignment horizontal="right"/>
    </xf>
    <xf numFmtId="0" fontId="87" fillId="0" borderId="0" xfId="11" applyFont="1" applyAlignment="1">
      <alignment horizontal="left" vertical="top"/>
    </xf>
    <xf numFmtId="168" fontId="15" fillId="21" borderId="1" xfId="5" applyNumberFormat="1" applyFont="1" applyFill="1" applyBorder="1" applyAlignment="1" applyProtection="1">
      <alignment horizontal="right" vertical="center"/>
      <protection locked="0"/>
    </xf>
    <xf numFmtId="0" fontId="15" fillId="21" borderId="8" xfId="13" applyFont="1" applyFill="1" applyBorder="1" applyAlignment="1" applyProtection="1">
      <alignment horizontal="left" vertical="center"/>
      <protection locked="0"/>
    </xf>
    <xf numFmtId="0" fontId="14" fillId="21" borderId="8" xfId="13" applyFont="1" applyFill="1" applyBorder="1" applyAlignment="1" applyProtection="1">
      <alignment horizontal="left" vertical="center"/>
      <protection locked="0"/>
    </xf>
    <xf numFmtId="169" fontId="14" fillId="27" borderId="15" xfId="1" applyNumberFormat="1" applyFont="1" applyFill="1" applyBorder="1" applyAlignment="1">
      <alignment vertical="center"/>
    </xf>
    <xf numFmtId="169" fontId="14" fillId="27" borderId="15" xfId="1" applyNumberFormat="1" applyFont="1" applyFill="1" applyBorder="1" applyAlignment="1" applyProtection="1">
      <alignment vertical="center"/>
    </xf>
    <xf numFmtId="0" fontId="14" fillId="0" borderId="0" xfId="11" applyFont="1" applyAlignment="1">
      <alignment horizontal="left"/>
    </xf>
    <xf numFmtId="169" fontId="14" fillId="20" borderId="0" xfId="7" applyNumberFormat="1" applyFont="1" applyFill="1" applyBorder="1" applyAlignment="1" applyProtection="1">
      <alignment vertical="center"/>
    </xf>
    <xf numFmtId="0" fontId="15" fillId="0" borderId="0" xfId="13" applyFont="1" applyAlignment="1">
      <alignment horizontal="left" vertical="center" wrapText="1"/>
    </xf>
    <xf numFmtId="0" fontId="18" fillId="7" borderId="0" xfId="0" applyFont="1" applyFill="1" applyAlignment="1">
      <alignment horizontal="left"/>
    </xf>
    <xf numFmtId="0" fontId="15" fillId="7" borderId="0" xfId="0" quotePrefix="1" applyFont="1" applyFill="1" applyAlignment="1">
      <alignment horizontal="left"/>
    </xf>
    <xf numFmtId="0" fontId="15" fillId="0" borderId="0" xfId="0" quotePrefix="1" applyFont="1" applyAlignment="1">
      <alignment vertical="center"/>
    </xf>
    <xf numFmtId="0" fontId="14" fillId="13" borderId="24" xfId="0" applyFont="1" applyFill="1" applyBorder="1" applyAlignment="1" applyProtection="1">
      <alignment vertical="center"/>
      <protection locked="0"/>
    </xf>
    <xf numFmtId="49" fontId="14" fillId="20" borderId="57" xfId="13" applyNumberFormat="1" applyFont="1" applyFill="1" applyBorder="1" applyAlignment="1">
      <alignment vertical="center"/>
    </xf>
    <xf numFmtId="0" fontId="15" fillId="5" borderId="30" xfId="0" applyFont="1" applyFill="1" applyBorder="1"/>
    <xf numFmtId="0" fontId="15" fillId="5" borderId="13" xfId="0" applyFont="1" applyFill="1" applyBorder="1"/>
    <xf numFmtId="0" fontId="18" fillId="0" borderId="0" xfId="0" applyFont="1"/>
    <xf numFmtId="0" fontId="15" fillId="21" borderId="30" xfId="0" applyFont="1" applyFill="1" applyBorder="1" applyAlignment="1" applyProtection="1">
      <alignment vertical="top"/>
      <protection locked="0"/>
    </xf>
    <xf numFmtId="0" fontId="14" fillId="24" borderId="0" xfId="0" applyFont="1" applyFill="1" applyAlignment="1">
      <alignment horizontal="center"/>
    </xf>
    <xf numFmtId="177" fontId="100" fillId="10" borderId="0" xfId="16" applyFont="1" applyFill="1" applyBorder="1" applyAlignment="1" applyProtection="1">
      <alignment vertical="center"/>
    </xf>
    <xf numFmtId="177" fontId="94" fillId="0" borderId="0" xfId="16" applyFont="1" applyBorder="1" applyAlignment="1">
      <alignment vertical="center"/>
    </xf>
    <xf numFmtId="177" fontId="94" fillId="0" borderId="10" xfId="19" applyFont="1" applyFill="1" applyBorder="1" applyAlignment="1">
      <alignment vertical="center"/>
    </xf>
    <xf numFmtId="177" fontId="94" fillId="0" borderId="42" xfId="19" applyFont="1" applyFill="1" applyBorder="1" applyAlignment="1">
      <alignment vertical="center"/>
    </xf>
    <xf numFmtId="177" fontId="37" fillId="22" borderId="0" xfId="16" applyFont="1" applyFill="1" applyAlignment="1">
      <alignment vertical="center"/>
    </xf>
    <xf numFmtId="177" fontId="37" fillId="22" borderId="4" xfId="16" applyFont="1" applyFill="1" applyBorder="1" applyAlignment="1" applyProtection="1">
      <alignment vertical="center"/>
    </xf>
    <xf numFmtId="177" fontId="37" fillId="22" borderId="5" xfId="16" applyFont="1" applyFill="1" applyBorder="1" applyAlignment="1" applyProtection="1">
      <alignment vertical="center"/>
    </xf>
    <xf numFmtId="177" fontId="37" fillId="22" borderId="5" xfId="16" applyFont="1" applyFill="1" applyBorder="1" applyAlignment="1">
      <alignment vertical="center"/>
    </xf>
    <xf numFmtId="177" fontId="15" fillId="24" borderId="71" xfId="19" applyFont="1" applyFill="1" applyBorder="1" applyAlignment="1" applyProtection="1">
      <alignment vertical="center"/>
    </xf>
    <xf numFmtId="49" fontId="37" fillId="22" borderId="5" xfId="16" applyNumberFormat="1" applyFont="1" applyFill="1" applyBorder="1" applyAlignment="1" applyProtection="1">
      <alignment vertical="center" wrapText="1"/>
    </xf>
    <xf numFmtId="177" fontId="37" fillId="22" borderId="6" xfId="16" applyFont="1" applyFill="1" applyBorder="1" applyAlignment="1" applyProtection="1">
      <alignment vertical="center"/>
    </xf>
    <xf numFmtId="177" fontId="37" fillId="22" borderId="0" xfId="16" applyFont="1" applyFill="1" applyBorder="1" applyAlignment="1">
      <alignment vertical="center"/>
    </xf>
    <xf numFmtId="177" fontId="37" fillId="22" borderId="12" xfId="16" applyFont="1" applyFill="1" applyBorder="1" applyAlignment="1">
      <alignment vertical="center"/>
    </xf>
    <xf numFmtId="0" fontId="15" fillId="21" borderId="2" xfId="13" applyFont="1" applyFill="1" applyBorder="1" applyAlignment="1" applyProtection="1">
      <alignment horizontal="left" vertical="center"/>
      <protection locked="0"/>
    </xf>
    <xf numFmtId="0" fontId="15" fillId="21" borderId="9" xfId="13" applyFont="1" applyFill="1" applyBorder="1" applyAlignment="1" applyProtection="1">
      <alignment horizontal="left" vertical="center"/>
      <protection locked="0"/>
    </xf>
    <xf numFmtId="0" fontId="37" fillId="0" borderId="0" xfId="11" applyFont="1" applyAlignment="1">
      <alignment vertical="top"/>
    </xf>
    <xf numFmtId="0" fontId="36" fillId="0" borderId="0" xfId="13" applyFont="1" applyAlignment="1">
      <alignment vertical="top"/>
    </xf>
    <xf numFmtId="0" fontId="83" fillId="0" borderId="0" xfId="13" applyFont="1" applyAlignment="1">
      <alignment vertical="center"/>
    </xf>
    <xf numFmtId="0" fontId="84" fillId="0" borderId="0" xfId="13" applyFont="1" applyAlignment="1">
      <alignment vertical="center"/>
    </xf>
    <xf numFmtId="0" fontId="83" fillId="7" borderId="2" xfId="0" applyFont="1" applyFill="1" applyBorder="1" applyAlignment="1">
      <alignment horizontal="left" vertical="center"/>
    </xf>
    <xf numFmtId="169" fontId="15" fillId="20" borderId="72" xfId="7" applyNumberFormat="1" applyFont="1" applyFill="1" applyBorder="1" applyAlignment="1">
      <alignment vertical="center"/>
    </xf>
    <xf numFmtId="0" fontId="84" fillId="0" borderId="2" xfId="13" applyFont="1" applyBorder="1" applyAlignment="1">
      <alignment horizontal="left" vertical="top" wrapText="1"/>
    </xf>
    <xf numFmtId="0" fontId="15" fillId="0" borderId="2" xfId="13" applyFont="1" applyBorder="1" applyAlignment="1">
      <alignment horizontal="left" vertical="top" wrapText="1"/>
    </xf>
    <xf numFmtId="0" fontId="15" fillId="22" borderId="1" xfId="13" applyFont="1" applyFill="1" applyBorder="1" applyAlignment="1">
      <alignment horizontal="left" vertical="top" wrapText="1"/>
    </xf>
    <xf numFmtId="0" fontId="15" fillId="23" borderId="1" xfId="13" applyFont="1" applyFill="1" applyBorder="1" applyAlignment="1">
      <alignment horizontal="left" vertical="top" wrapText="1"/>
    </xf>
    <xf numFmtId="171" fontId="15" fillId="23" borderId="1" xfId="5" applyNumberFormat="1" applyFont="1" applyFill="1" applyBorder="1" applyAlignment="1">
      <alignment horizontal="left" vertical="top" wrapText="1"/>
    </xf>
    <xf numFmtId="0" fontId="15" fillId="22" borderId="1" xfId="0" applyFont="1" applyFill="1" applyBorder="1" applyAlignment="1">
      <alignment horizontal="left" vertical="top" wrapText="1"/>
    </xf>
    <xf numFmtId="0" fontId="15" fillId="0" borderId="1" xfId="13" applyFont="1" applyBorder="1" applyAlignment="1">
      <alignment horizontal="left" vertical="top" wrapText="1"/>
    </xf>
    <xf numFmtId="0" fontId="15" fillId="7" borderId="1" xfId="0" applyFont="1" applyFill="1" applyBorder="1" applyAlignment="1">
      <alignment horizontal="left" vertical="top" wrapText="1"/>
    </xf>
    <xf numFmtId="0" fontId="103" fillId="0" borderId="0" xfId="0" applyFont="1" applyAlignment="1">
      <alignment horizontal="left" vertical="top" wrapText="1"/>
    </xf>
    <xf numFmtId="0" fontId="14" fillId="5" borderId="0" xfId="0" applyFont="1" applyFill="1" applyAlignment="1">
      <alignment horizontal="center"/>
    </xf>
    <xf numFmtId="0" fontId="14" fillId="26" borderId="78" xfId="0" applyFont="1" applyFill="1" applyBorder="1"/>
    <xf numFmtId="0" fontId="14" fillId="26" borderId="79" xfId="0" applyFont="1" applyFill="1" applyBorder="1" applyAlignment="1">
      <alignment horizontal="center" wrapText="1"/>
    </xf>
    <xf numFmtId="0" fontId="14" fillId="26" borderId="80" xfId="0" applyFont="1" applyFill="1" applyBorder="1" applyAlignment="1">
      <alignment horizontal="center" wrapText="1"/>
    </xf>
    <xf numFmtId="0" fontId="36" fillId="26" borderId="73" xfId="0" applyFont="1" applyFill="1" applyBorder="1"/>
    <xf numFmtId="0" fontId="14" fillId="26" borderId="0" xfId="0" applyFont="1" applyFill="1" applyAlignment="1">
      <alignment horizontal="center"/>
    </xf>
    <xf numFmtId="0" fontId="14" fillId="26" borderId="74" xfId="0" applyFont="1" applyFill="1" applyBorder="1" applyAlignment="1">
      <alignment horizontal="center"/>
    </xf>
    <xf numFmtId="0" fontId="14" fillId="26" borderId="73" xfId="0" applyFont="1" applyFill="1" applyBorder="1"/>
    <xf numFmtId="0" fontId="15" fillId="26" borderId="73" xfId="0" applyFont="1" applyFill="1" applyBorder="1"/>
    <xf numFmtId="0" fontId="15" fillId="26" borderId="75" xfId="0" applyFont="1" applyFill="1" applyBorder="1"/>
    <xf numFmtId="0" fontId="14" fillId="26" borderId="76" xfId="0" applyFont="1" applyFill="1" applyBorder="1" applyAlignment="1">
      <alignment horizontal="center"/>
    </xf>
    <xf numFmtId="0" fontId="14" fillId="26" borderId="77" xfId="0" applyFont="1" applyFill="1" applyBorder="1" applyAlignment="1">
      <alignment horizontal="center"/>
    </xf>
    <xf numFmtId="177" fontId="104" fillId="0" borderId="0" xfId="16" applyFont="1" applyBorder="1" applyProtection="1">
      <alignment vertical="top"/>
    </xf>
    <xf numFmtId="177" fontId="105" fillId="0" borderId="0" xfId="16" applyFont="1" applyBorder="1" applyProtection="1">
      <alignment vertical="top"/>
    </xf>
    <xf numFmtId="49" fontId="104" fillId="0" borderId="0" xfId="16" applyNumberFormat="1" applyFont="1" applyBorder="1" applyAlignment="1" applyProtection="1">
      <alignment vertical="top" wrapText="1"/>
    </xf>
    <xf numFmtId="177" fontId="104" fillId="0" borderId="0" xfId="16" applyFont="1" applyProtection="1">
      <alignment vertical="top"/>
    </xf>
    <xf numFmtId="177" fontId="106" fillId="0" borderId="0" xfId="16" applyFont="1" applyProtection="1">
      <alignment vertical="top"/>
    </xf>
    <xf numFmtId="0" fontId="101" fillId="0" borderId="0" xfId="0" applyFont="1" applyAlignment="1">
      <alignment vertical="top"/>
    </xf>
    <xf numFmtId="0" fontId="36" fillId="0" borderId="0" xfId="0" applyFont="1"/>
    <xf numFmtId="177" fontId="61" fillId="0" borderId="30" xfId="16" applyFont="1" applyFill="1" applyBorder="1" applyProtection="1">
      <alignment vertical="top"/>
    </xf>
    <xf numFmtId="177" fontId="61" fillId="0" borderId="25" xfId="16" applyFont="1" applyBorder="1" applyProtection="1">
      <alignment vertical="top"/>
    </xf>
    <xf numFmtId="49" fontId="61" fillId="0" borderId="25" xfId="16" applyNumberFormat="1" applyFont="1" applyBorder="1" applyAlignment="1" applyProtection="1">
      <alignment vertical="top" wrapText="1"/>
    </xf>
    <xf numFmtId="177" fontId="61" fillId="0" borderId="26" xfId="16" applyFont="1" applyBorder="1" applyProtection="1">
      <alignment vertical="top"/>
    </xf>
    <xf numFmtId="177" fontId="62" fillId="0" borderId="3" xfId="16" applyFont="1" applyFill="1" applyBorder="1" applyProtection="1">
      <alignment vertical="top"/>
    </xf>
    <xf numFmtId="177" fontId="104" fillId="0" borderId="27" xfId="16" applyFont="1" applyBorder="1" applyProtection="1">
      <alignment vertical="top"/>
    </xf>
    <xf numFmtId="177" fontId="61" fillId="0" borderId="3" xfId="16" applyFont="1" applyFill="1" applyBorder="1" applyProtection="1">
      <alignment vertical="top"/>
    </xf>
    <xf numFmtId="177" fontId="61" fillId="0" borderId="27" xfId="16" applyFont="1" applyBorder="1" applyProtection="1">
      <alignment vertical="top"/>
    </xf>
    <xf numFmtId="0" fontId="33" fillId="5" borderId="0" xfId="0" applyFont="1" applyFill="1" applyAlignment="1">
      <alignment horizontal="center"/>
    </xf>
    <xf numFmtId="177" fontId="67" fillId="20" borderId="0" xfId="16" applyFont="1" applyFill="1" applyBorder="1" applyProtection="1">
      <alignment vertical="top"/>
    </xf>
    <xf numFmtId="177" fontId="37" fillId="0" borderId="3" xfId="16" applyFont="1" applyFill="1" applyBorder="1" applyProtection="1">
      <alignment vertical="top"/>
    </xf>
    <xf numFmtId="177" fontId="37" fillId="0" borderId="27" xfId="16" applyFont="1" applyBorder="1" applyProtection="1">
      <alignment vertical="top"/>
    </xf>
    <xf numFmtId="177" fontId="37" fillId="0" borderId="27" xfId="16" applyFont="1" applyFill="1" applyBorder="1" applyProtection="1">
      <alignment vertical="top"/>
    </xf>
    <xf numFmtId="177" fontId="34" fillId="0" borderId="0" xfId="16" applyFont="1" applyBorder="1" applyAlignment="1" applyProtection="1">
      <alignment horizontal="left" vertical="top"/>
    </xf>
    <xf numFmtId="177" fontId="37" fillId="0" borderId="0" xfId="16" applyFont="1" applyBorder="1" applyAlignment="1" applyProtection="1">
      <alignment vertical="top" wrapText="1"/>
    </xf>
    <xf numFmtId="180" fontId="37" fillId="0" borderId="0" xfId="16" applyNumberFormat="1" applyFont="1" applyBorder="1" applyProtection="1">
      <alignment vertical="top"/>
    </xf>
    <xf numFmtId="177" fontId="14" fillId="0" borderId="0" xfId="16" applyFont="1" applyBorder="1" applyProtection="1">
      <alignment vertical="top"/>
    </xf>
    <xf numFmtId="177" fontId="37" fillId="0" borderId="13" xfId="16" applyFont="1" applyFill="1" applyBorder="1" applyProtection="1">
      <alignment vertical="top"/>
    </xf>
    <xf numFmtId="177" fontId="37" fillId="0" borderId="28" xfId="16" applyFont="1" applyBorder="1" applyProtection="1">
      <alignment vertical="top"/>
    </xf>
    <xf numFmtId="49" fontId="37" fillId="0" borderId="28" xfId="16" applyNumberFormat="1" applyFont="1" applyBorder="1" applyAlignment="1" applyProtection="1">
      <alignment vertical="top" wrapText="1"/>
    </xf>
    <xf numFmtId="177" fontId="74" fillId="0" borderId="28" xfId="16" applyFont="1" applyBorder="1" applyProtection="1">
      <alignment vertical="top"/>
    </xf>
    <xf numFmtId="177" fontId="37" fillId="0" borderId="29" xfId="16" applyFont="1" applyBorder="1" applyProtection="1">
      <alignment vertical="top"/>
    </xf>
    <xf numFmtId="0" fontId="12" fillId="0" borderId="0" xfId="13" applyFont="1"/>
    <xf numFmtId="0" fontId="15" fillId="0" borderId="0" xfId="0" applyFont="1" applyAlignment="1" applyProtection="1">
      <alignment vertical="top"/>
      <protection locked="0"/>
    </xf>
    <xf numFmtId="0" fontId="12" fillId="4" borderId="30" xfId="0" applyFont="1" applyFill="1" applyBorder="1" applyAlignment="1">
      <alignment horizontal="left"/>
    </xf>
    <xf numFmtId="0" fontId="12" fillId="4" borderId="25" xfId="13" applyFont="1" applyFill="1" applyBorder="1"/>
    <xf numFmtId="0" fontId="12" fillId="4" borderId="26" xfId="13" applyFont="1" applyFill="1" applyBorder="1"/>
    <xf numFmtId="0" fontId="39" fillId="10" borderId="30" xfId="0" applyFont="1" applyFill="1" applyBorder="1" applyAlignment="1">
      <alignment vertical="top"/>
    </xf>
    <xf numFmtId="0" fontId="29" fillId="10" borderId="25" xfId="0" applyFont="1" applyFill="1" applyBorder="1" applyAlignment="1">
      <alignment vertical="top"/>
    </xf>
    <xf numFmtId="0" fontId="29" fillId="10" borderId="26" xfId="0" applyFont="1" applyFill="1" applyBorder="1" applyAlignment="1">
      <alignment vertical="top"/>
    </xf>
    <xf numFmtId="0" fontId="15" fillId="24" borderId="0" xfId="11" applyFont="1" applyFill="1"/>
    <xf numFmtId="0" fontId="15" fillId="24" borderId="27" xfId="11" applyFont="1" applyFill="1" applyBorder="1"/>
    <xf numFmtId="0" fontId="15" fillId="24" borderId="28" xfId="11" applyFont="1" applyFill="1" applyBorder="1"/>
    <xf numFmtId="0" fontId="15" fillId="24" borderId="29" xfId="11" applyFont="1" applyFill="1" applyBorder="1"/>
    <xf numFmtId="169" fontId="15" fillId="20" borderId="14" xfId="1" applyNumberFormat="1" applyFont="1" applyFill="1" applyBorder="1" applyAlignment="1">
      <alignment vertical="center"/>
    </xf>
    <xf numFmtId="0" fontId="14" fillId="0" borderId="81" xfId="0" applyFont="1" applyBorder="1" applyAlignment="1">
      <alignment horizontal="left" vertical="center"/>
    </xf>
    <xf numFmtId="0" fontId="14" fillId="0" borderId="82" xfId="0" applyFont="1" applyBorder="1" applyAlignment="1">
      <alignment vertical="center" wrapText="1"/>
    </xf>
    <xf numFmtId="0" fontId="15" fillId="0" borderId="55" xfId="0" applyFont="1" applyBorder="1" applyAlignment="1">
      <alignment vertical="center"/>
    </xf>
    <xf numFmtId="0" fontId="14" fillId="0" borderId="55" xfId="0" applyFont="1" applyBorder="1" applyAlignment="1">
      <alignment vertical="center"/>
    </xf>
    <xf numFmtId="0" fontId="14" fillId="0" borderId="25" xfId="0" applyFont="1" applyBorder="1" applyAlignment="1">
      <alignment vertical="center"/>
    </xf>
    <xf numFmtId="0" fontId="10" fillId="0" borderId="83" xfId="0" applyFont="1" applyBorder="1" applyAlignment="1">
      <alignment vertical="center"/>
    </xf>
    <xf numFmtId="0" fontId="14" fillId="0" borderId="84" xfId="0" applyFont="1" applyBorder="1" applyAlignment="1">
      <alignment horizontal="left" vertical="center"/>
    </xf>
    <xf numFmtId="0" fontId="14" fillId="0" borderId="84" xfId="0" applyFont="1" applyBorder="1" applyAlignment="1">
      <alignment horizontal="left" vertical="center" wrapText="1"/>
    </xf>
    <xf numFmtId="0" fontId="14" fillId="0" borderId="85" xfId="0" applyFont="1" applyBorder="1" applyAlignment="1">
      <alignment horizontal="left" vertical="center" wrapText="1"/>
    </xf>
    <xf numFmtId="0" fontId="15" fillId="21" borderId="20" xfId="13" applyFont="1" applyFill="1" applyBorder="1" applyAlignment="1" applyProtection="1">
      <alignment horizontal="center" vertical="center"/>
      <protection locked="0"/>
    </xf>
    <xf numFmtId="42" fontId="15" fillId="20" borderId="86" xfId="1" applyNumberFormat="1" applyFont="1" applyFill="1" applyBorder="1" applyAlignment="1" applyProtection="1">
      <alignment horizontal="left" vertical="center"/>
    </xf>
    <xf numFmtId="0" fontId="15" fillId="21" borderId="21" xfId="13" applyFont="1" applyFill="1" applyBorder="1" applyAlignment="1" applyProtection="1">
      <alignment horizontal="center" vertical="center"/>
      <protection locked="0"/>
    </xf>
    <xf numFmtId="0" fontId="15" fillId="21" borderId="37" xfId="13" applyFont="1" applyFill="1" applyBorder="1" applyAlignment="1" applyProtection="1">
      <alignment horizontal="left" vertical="center"/>
      <protection locked="0"/>
    </xf>
    <xf numFmtId="0" fontId="15" fillId="21" borderId="38" xfId="13" applyFont="1" applyFill="1" applyBorder="1" applyAlignment="1" applyProtection="1">
      <alignment horizontal="left" vertical="center"/>
      <protection locked="0"/>
    </xf>
    <xf numFmtId="0" fontId="15" fillId="21" borderId="39" xfId="13" applyFont="1" applyFill="1" applyBorder="1" applyAlignment="1" applyProtection="1">
      <alignment horizontal="left" vertical="center"/>
      <protection locked="0"/>
    </xf>
    <xf numFmtId="42" fontId="15" fillId="20" borderId="22" xfId="5" applyNumberFormat="1" applyFont="1" applyFill="1" applyBorder="1" applyAlignment="1" applyProtection="1">
      <alignment horizontal="center" vertical="center"/>
    </xf>
    <xf numFmtId="168" fontId="15" fillId="21" borderId="22" xfId="5" applyNumberFormat="1" applyFont="1" applyFill="1" applyBorder="1" applyAlignment="1" applyProtection="1">
      <alignment horizontal="right" vertical="center"/>
      <protection locked="0"/>
    </xf>
    <xf numFmtId="0" fontId="15" fillId="21" borderId="37" xfId="13" applyFont="1" applyFill="1" applyBorder="1" applyAlignment="1" applyProtection="1">
      <alignment vertical="center"/>
      <protection locked="0"/>
    </xf>
    <xf numFmtId="0" fontId="15" fillId="21" borderId="38" xfId="13" applyFont="1" applyFill="1" applyBorder="1" applyAlignment="1" applyProtection="1">
      <alignment vertical="center"/>
      <protection locked="0"/>
    </xf>
    <xf numFmtId="0" fontId="15" fillId="21" borderId="39" xfId="13" applyFont="1" applyFill="1" applyBorder="1" applyAlignment="1" applyProtection="1">
      <alignment vertical="center"/>
      <protection locked="0"/>
    </xf>
    <xf numFmtId="42" fontId="15" fillId="20" borderId="87" xfId="1" applyNumberFormat="1" applyFont="1" applyFill="1" applyBorder="1" applyAlignment="1" applyProtection="1">
      <alignment horizontal="left" vertical="center"/>
    </xf>
    <xf numFmtId="169" fontId="15" fillId="0" borderId="14" xfId="13" applyNumberFormat="1" applyFont="1" applyBorder="1" applyAlignment="1">
      <alignment vertical="center"/>
    </xf>
    <xf numFmtId="0" fontId="14" fillId="0" borderId="81" xfId="0" applyFont="1" applyBorder="1" applyAlignment="1">
      <alignment horizontal="left" vertical="center" wrapText="1"/>
    </xf>
    <xf numFmtId="0" fontId="14" fillId="0" borderId="84" xfId="13" applyFont="1" applyBorder="1" applyAlignment="1">
      <alignment horizontal="left" vertical="center" wrapText="1"/>
    </xf>
    <xf numFmtId="0" fontId="14" fillId="22" borderId="84" xfId="13" applyFont="1" applyFill="1" applyBorder="1" applyAlignment="1">
      <alignment horizontal="left" vertical="center" wrapText="1"/>
    </xf>
    <xf numFmtId="0" fontId="14" fillId="22" borderId="85" xfId="0" applyFont="1" applyFill="1" applyBorder="1" applyAlignment="1">
      <alignment horizontal="left" vertical="center" wrapText="1"/>
    </xf>
    <xf numFmtId="0" fontId="15" fillId="21" borderId="22" xfId="13" applyFont="1" applyFill="1" applyBorder="1" applyAlignment="1" applyProtection="1">
      <alignment horizontal="left" vertical="center"/>
      <protection locked="0"/>
    </xf>
    <xf numFmtId="169" fontId="15" fillId="21" borderId="22" xfId="14" applyNumberFormat="1" applyFont="1" applyFill="1" applyBorder="1" applyAlignment="1" applyProtection="1">
      <alignment horizontal="center" vertical="center"/>
      <protection locked="0"/>
    </xf>
    <xf numFmtId="168" fontId="15" fillId="20" borderId="22" xfId="5" applyNumberFormat="1" applyFont="1" applyFill="1" applyBorder="1" applyAlignment="1" applyProtection="1">
      <alignment horizontal="center" vertical="center"/>
    </xf>
    <xf numFmtId="168" fontId="15" fillId="21" borderId="22" xfId="5" applyNumberFormat="1" applyFont="1" applyFill="1" applyBorder="1" applyAlignment="1" applyProtection="1">
      <alignment horizontal="center" vertical="center"/>
      <protection locked="0"/>
    </xf>
    <xf numFmtId="0" fontId="14" fillId="0" borderId="88" xfId="0" applyFont="1" applyBorder="1" applyAlignment="1">
      <alignment horizontal="left" vertical="center" wrapText="1"/>
    </xf>
    <xf numFmtId="0" fontId="14" fillId="0" borderId="19" xfId="0" applyFont="1" applyBorder="1" applyAlignment="1">
      <alignment horizontal="left" vertical="center" wrapText="1"/>
    </xf>
    <xf numFmtId="0" fontId="14" fillId="0" borderId="19" xfId="13" applyFont="1" applyBorder="1" applyAlignment="1">
      <alignment horizontal="left" vertical="center" wrapText="1"/>
    </xf>
    <xf numFmtId="0" fontId="14" fillId="0" borderId="11" xfId="13" applyFont="1" applyBorder="1" applyAlignment="1">
      <alignment horizontal="left" vertical="center" wrapText="1"/>
    </xf>
    <xf numFmtId="0" fontId="14" fillId="22" borderId="19" xfId="13" applyFont="1" applyFill="1" applyBorder="1" applyAlignment="1">
      <alignment horizontal="left" vertical="center" wrapText="1"/>
    </xf>
    <xf numFmtId="0" fontId="33" fillId="22" borderId="19" xfId="13" applyFont="1" applyFill="1" applyBorder="1" applyAlignment="1">
      <alignment horizontal="left" vertical="center" wrapText="1"/>
    </xf>
    <xf numFmtId="0" fontId="33" fillId="23" borderId="19" xfId="13" applyFont="1" applyFill="1" applyBorder="1" applyAlignment="1">
      <alignment horizontal="left" vertical="center" wrapText="1"/>
    </xf>
    <xf numFmtId="0" fontId="14" fillId="23" borderId="19" xfId="13" applyFont="1" applyFill="1" applyBorder="1" applyAlignment="1">
      <alignment horizontal="left" vertical="center" wrapText="1"/>
    </xf>
    <xf numFmtId="171" fontId="14" fillId="23" borderId="19" xfId="5" applyNumberFormat="1" applyFont="1" applyFill="1" applyBorder="1" applyAlignment="1">
      <alignment horizontal="left" vertical="center" wrapText="1"/>
    </xf>
    <xf numFmtId="0" fontId="14" fillId="22" borderId="89" xfId="0" applyFont="1" applyFill="1" applyBorder="1" applyAlignment="1">
      <alignment horizontal="left" vertical="center" wrapText="1"/>
    </xf>
    <xf numFmtId="0" fontId="12" fillId="4" borderId="1" xfId="0" applyFont="1" applyFill="1" applyBorder="1" applyAlignment="1">
      <alignment horizontal="left" vertical="center"/>
    </xf>
    <xf numFmtId="0" fontId="28" fillId="4" borderId="1" xfId="0" quotePrefix="1" applyFont="1" applyFill="1" applyBorder="1" applyAlignment="1">
      <alignment horizontal="left" vertical="center"/>
    </xf>
    <xf numFmtId="0" fontId="28" fillId="4" borderId="1" xfId="0" applyFont="1" applyFill="1" applyBorder="1" applyAlignment="1">
      <alignment horizontal="left" vertical="center"/>
    </xf>
    <xf numFmtId="0" fontId="29" fillId="10" borderId="1" xfId="13" applyFont="1" applyFill="1" applyBorder="1" applyAlignment="1">
      <alignment vertical="center"/>
    </xf>
    <xf numFmtId="171" fontId="29" fillId="10" borderId="1" xfId="13" applyNumberFormat="1" applyFont="1" applyFill="1" applyBorder="1" applyAlignment="1">
      <alignment horizontal="center" vertical="center"/>
    </xf>
    <xf numFmtId="0" fontId="83" fillId="0" borderId="1" xfId="13" applyFont="1" applyBorder="1" applyAlignment="1">
      <alignment vertical="center"/>
    </xf>
    <xf numFmtId="0" fontId="30" fillId="0" borderId="1" xfId="0" applyFont="1" applyBorder="1" applyAlignment="1">
      <alignment vertical="center"/>
    </xf>
    <xf numFmtId="0" fontId="29" fillId="0" borderId="5" xfId="13" applyFont="1" applyBorder="1" applyAlignment="1">
      <alignment vertical="center"/>
    </xf>
    <xf numFmtId="171" fontId="29" fillId="0" borderId="5" xfId="13" applyNumberFormat="1" applyFont="1" applyBorder="1" applyAlignment="1">
      <alignment horizontal="center" vertical="center"/>
    </xf>
    <xf numFmtId="171" fontId="29" fillId="0" borderId="6" xfId="13" applyNumberFormat="1" applyFont="1" applyBorder="1" applyAlignment="1">
      <alignment horizontal="center" vertical="center"/>
    </xf>
    <xf numFmtId="168" fontId="9" fillId="0" borderId="19" xfId="0" applyNumberFormat="1" applyFont="1" applyBorder="1" applyAlignment="1">
      <alignment vertical="center"/>
    </xf>
    <xf numFmtId="0" fontId="14" fillId="0" borderId="55" xfId="13" applyFont="1" applyBorder="1" applyAlignment="1">
      <alignment vertical="center" wrapText="1"/>
    </xf>
    <xf numFmtId="0" fontId="14" fillId="0" borderId="83" xfId="13" applyFont="1" applyBorder="1" applyAlignment="1">
      <alignment vertical="center" wrapText="1"/>
    </xf>
    <xf numFmtId="169" fontId="14" fillId="20" borderId="14" xfId="1" applyNumberFormat="1" applyFont="1" applyFill="1" applyBorder="1" applyAlignment="1">
      <alignment vertical="center"/>
    </xf>
    <xf numFmtId="0" fontId="14" fillId="7" borderId="85" xfId="0" applyFont="1" applyFill="1" applyBorder="1" applyAlignment="1">
      <alignment horizontal="left" vertical="center" wrapText="1"/>
    </xf>
    <xf numFmtId="169" fontId="15" fillId="21" borderId="86" xfId="1" applyNumberFormat="1" applyFont="1" applyFill="1" applyBorder="1" applyAlignment="1" applyProtection="1">
      <alignment vertical="center"/>
      <protection locked="0"/>
    </xf>
    <xf numFmtId="169" fontId="15" fillId="21" borderId="87" xfId="1" applyNumberFormat="1" applyFont="1" applyFill="1" applyBorder="1" applyAlignment="1" applyProtection="1">
      <alignment vertical="center"/>
      <protection locked="0"/>
    </xf>
    <xf numFmtId="171" fontId="29" fillId="10" borderId="5" xfId="13" applyNumberFormat="1" applyFont="1" applyFill="1" applyBorder="1" applyAlignment="1">
      <alignment horizontal="center" vertical="center"/>
    </xf>
    <xf numFmtId="0" fontId="83" fillId="0" borderId="54" xfId="13" applyFont="1" applyBorder="1" applyAlignment="1">
      <alignment vertical="center"/>
    </xf>
    <xf numFmtId="0" fontId="83" fillId="0" borderId="82" xfId="13" applyFont="1" applyBorder="1" applyAlignment="1">
      <alignment vertical="center"/>
    </xf>
    <xf numFmtId="0" fontId="83" fillId="0" borderId="55" xfId="13" applyFont="1" applyBorder="1" applyAlignment="1">
      <alignment vertical="center"/>
    </xf>
    <xf numFmtId="0" fontId="18" fillId="0" borderId="55" xfId="13" applyFont="1" applyBorder="1" applyAlignment="1">
      <alignment vertical="center"/>
    </xf>
    <xf numFmtId="0" fontId="18" fillId="0" borderId="25" xfId="13" applyFont="1" applyBorder="1" applyAlignment="1">
      <alignment vertical="center"/>
    </xf>
    <xf numFmtId="0" fontId="18" fillId="0" borderId="25" xfId="0" applyFont="1" applyBorder="1" applyAlignment="1">
      <alignment vertical="center"/>
    </xf>
    <xf numFmtId="0" fontId="18" fillId="0" borderId="85" xfId="13" applyFont="1" applyBorder="1" applyAlignment="1">
      <alignment vertical="center" wrapText="1"/>
    </xf>
    <xf numFmtId="0" fontId="15" fillId="21" borderId="44" xfId="13" applyFont="1" applyFill="1" applyBorder="1" applyAlignment="1" applyProtection="1">
      <alignment vertical="center"/>
      <protection locked="0"/>
    </xf>
    <xf numFmtId="0" fontId="15" fillId="21" borderId="62" xfId="13" applyFont="1" applyFill="1" applyBorder="1" applyAlignment="1" applyProtection="1">
      <alignment vertical="center"/>
      <protection locked="0"/>
    </xf>
    <xf numFmtId="184" fontId="15" fillId="8" borderId="1" xfId="0" applyNumberFormat="1" applyFont="1" applyFill="1" applyBorder="1" applyAlignment="1">
      <alignment horizontal="right" vertical="top" wrapText="1"/>
    </xf>
    <xf numFmtId="0" fontId="14" fillId="24" borderId="90" xfId="0" applyFont="1" applyFill="1" applyBorder="1" applyAlignment="1">
      <alignment vertical="top" wrapText="1"/>
    </xf>
    <xf numFmtId="0" fontId="14" fillId="24" borderId="91" xfId="0" applyFont="1" applyFill="1" applyBorder="1" applyAlignment="1">
      <alignment vertical="top" wrapText="1"/>
    </xf>
    <xf numFmtId="49" fontId="15" fillId="20" borderId="94" xfId="0" applyNumberFormat="1" applyFont="1" applyFill="1" applyBorder="1" applyAlignment="1">
      <alignment vertical="top" wrapText="1"/>
    </xf>
    <xf numFmtId="49" fontId="15" fillId="21" borderId="94" xfId="0" applyNumberFormat="1" applyFont="1" applyFill="1" applyBorder="1" applyAlignment="1" applyProtection="1">
      <alignment vertical="top" wrapText="1"/>
      <protection locked="0"/>
    </xf>
    <xf numFmtId="167" fontId="15" fillId="21" borderId="96" xfId="0" applyNumberFormat="1" applyFont="1" applyFill="1" applyBorder="1" applyAlignment="1" applyProtection="1">
      <alignment vertical="top" wrapText="1"/>
      <protection locked="0"/>
    </xf>
    <xf numFmtId="49" fontId="15" fillId="21" borderId="97" xfId="0" applyNumberFormat="1" applyFont="1" applyFill="1" applyBorder="1" applyAlignment="1" applyProtection="1">
      <alignment vertical="top" wrapText="1"/>
      <protection locked="0"/>
    </xf>
    <xf numFmtId="173" fontId="22" fillId="21" borderId="98" xfId="1" applyNumberFormat="1" applyFont="1" applyFill="1" applyBorder="1" applyAlignment="1" applyProtection="1">
      <alignment vertical="top"/>
      <protection locked="0"/>
    </xf>
    <xf numFmtId="167" fontId="15" fillId="21" borderId="99" xfId="0" applyNumberFormat="1" applyFont="1" applyFill="1" applyBorder="1" applyAlignment="1" applyProtection="1">
      <alignment vertical="top" wrapText="1"/>
      <protection locked="0"/>
    </xf>
    <xf numFmtId="167" fontId="15" fillId="21" borderId="100" xfId="0" applyNumberFormat="1" applyFont="1" applyFill="1" applyBorder="1" applyAlignment="1" applyProtection="1">
      <alignment vertical="top" wrapText="1"/>
      <protection locked="0"/>
    </xf>
    <xf numFmtId="0" fontId="82" fillId="28" borderId="30" xfId="0" applyFont="1" applyFill="1" applyBorder="1" applyAlignment="1">
      <alignment vertical="top"/>
    </xf>
    <xf numFmtId="0" fontId="15" fillId="28" borderId="25" xfId="11" applyFont="1" applyFill="1" applyBorder="1" applyAlignment="1">
      <alignment vertical="top"/>
    </xf>
    <xf numFmtId="0" fontId="15" fillId="28" borderId="25" xfId="11" applyFont="1" applyFill="1" applyBorder="1"/>
    <xf numFmtId="0" fontId="15" fillId="28" borderId="26" xfId="11" applyFont="1" applyFill="1" applyBorder="1"/>
    <xf numFmtId="0" fontId="15" fillId="28" borderId="3" xfId="0" applyFont="1" applyFill="1" applyBorder="1" applyAlignment="1">
      <alignment vertical="top"/>
    </xf>
    <xf numFmtId="0" fontId="15" fillId="28" borderId="0" xfId="11" applyFont="1" applyFill="1" applyAlignment="1">
      <alignment vertical="top"/>
    </xf>
    <xf numFmtId="0" fontId="15" fillId="28" borderId="0" xfId="11" applyFont="1" applyFill="1"/>
    <xf numFmtId="0" fontId="15" fillId="28" borderId="27" xfId="11" applyFont="1" applyFill="1" applyBorder="1"/>
    <xf numFmtId="0" fontId="15" fillId="28" borderId="13" xfId="0" applyFont="1" applyFill="1" applyBorder="1" applyAlignment="1">
      <alignment vertical="top"/>
    </xf>
    <xf numFmtId="0" fontId="15" fillId="28" borderId="28" xfId="11" applyFont="1" applyFill="1" applyBorder="1" applyAlignment="1">
      <alignment vertical="top"/>
    </xf>
    <xf numFmtId="0" fontId="15" fillId="28" borderId="28" xfId="11" applyFont="1" applyFill="1" applyBorder="1"/>
    <xf numFmtId="0" fontId="15" fillId="28" borderId="29" xfId="11" applyFont="1" applyFill="1" applyBorder="1"/>
    <xf numFmtId="0" fontId="15" fillId="28" borderId="3" xfId="11" applyFont="1" applyFill="1" applyBorder="1" applyAlignment="1">
      <alignment horizontal="left" vertical="top"/>
    </xf>
    <xf numFmtId="0" fontId="15" fillId="28" borderId="13" xfId="11" applyFont="1" applyFill="1" applyBorder="1" applyAlignment="1">
      <alignment horizontal="left" vertical="top"/>
    </xf>
    <xf numFmtId="0" fontId="107" fillId="20" borderId="1" xfId="13" applyFont="1" applyFill="1" applyBorder="1" applyAlignment="1" applyProtection="1">
      <alignment horizontal="center"/>
      <protection locked="0"/>
    </xf>
    <xf numFmtId="0" fontId="36" fillId="28" borderId="13" xfId="0" applyFont="1" applyFill="1" applyBorder="1" applyAlignment="1">
      <alignment vertical="top"/>
    </xf>
    <xf numFmtId="169" fontId="15" fillId="21" borderId="2" xfId="14" applyNumberFormat="1" applyFont="1" applyFill="1" applyBorder="1" applyAlignment="1" applyProtection="1">
      <alignment horizontal="center" vertical="center"/>
      <protection locked="0"/>
    </xf>
    <xf numFmtId="0" fontId="45" fillId="21" borderId="104" xfId="0" applyFont="1" applyFill="1" applyBorder="1" applyProtection="1">
      <protection locked="0"/>
    </xf>
    <xf numFmtId="0" fontId="15" fillId="21" borderId="25" xfId="0" applyFont="1" applyFill="1" applyBorder="1" applyAlignment="1" applyProtection="1">
      <alignment vertical="top"/>
      <protection locked="0"/>
    </xf>
    <xf numFmtId="0" fontId="15" fillId="21" borderId="26" xfId="0" applyFont="1" applyFill="1" applyBorder="1" applyAlignment="1" applyProtection="1">
      <alignment vertical="top"/>
      <protection locked="0"/>
    </xf>
    <xf numFmtId="0" fontId="14" fillId="24" borderId="81" xfId="0" applyFont="1" applyFill="1" applyBorder="1" applyAlignment="1">
      <alignment horizontal="left" vertical="center"/>
    </xf>
    <xf numFmtId="174" fontId="14" fillId="8" borderId="21" xfId="0" applyNumberFormat="1" applyFont="1" applyFill="1" applyBorder="1" applyAlignment="1">
      <alignment vertical="center"/>
    </xf>
    <xf numFmtId="174" fontId="15" fillId="8" borderId="21" xfId="0" applyNumberFormat="1" applyFont="1" applyFill="1" applyBorder="1" applyAlignment="1">
      <alignment vertical="center"/>
    </xf>
    <xf numFmtId="178" fontId="108" fillId="0" borderId="0" xfId="16" applyNumberFormat="1" applyFont="1" applyFill="1" applyAlignment="1">
      <alignment vertical="center"/>
    </xf>
    <xf numFmtId="178" fontId="108" fillId="0" borderId="0" xfId="16" applyNumberFormat="1" applyFont="1" applyAlignment="1">
      <alignment vertical="center"/>
    </xf>
    <xf numFmtId="177" fontId="108" fillId="0" borderId="0" xfId="19" applyFont="1" applyAlignment="1">
      <alignment vertical="center"/>
    </xf>
    <xf numFmtId="177" fontId="108" fillId="0" borderId="0" xfId="16" applyFont="1" applyAlignment="1">
      <alignment vertical="center"/>
    </xf>
    <xf numFmtId="177" fontId="108" fillId="0" borderId="10" xfId="19" applyFont="1" applyBorder="1" applyAlignment="1">
      <alignment vertical="center"/>
    </xf>
    <xf numFmtId="177" fontId="108" fillId="0" borderId="42" xfId="19" applyFont="1" applyBorder="1" applyAlignment="1">
      <alignment vertical="center"/>
    </xf>
    <xf numFmtId="178" fontId="109" fillId="0" borderId="0" xfId="16" applyNumberFormat="1" applyFont="1" applyFill="1" applyAlignment="1">
      <alignment vertical="center"/>
    </xf>
    <xf numFmtId="178" fontId="109" fillId="0" borderId="0" xfId="16" applyNumberFormat="1" applyFont="1" applyAlignment="1">
      <alignment vertical="center"/>
    </xf>
    <xf numFmtId="177" fontId="109" fillId="0" borderId="0" xfId="19" applyFont="1" applyAlignment="1">
      <alignment vertical="center"/>
    </xf>
    <xf numFmtId="177" fontId="109" fillId="0" borderId="0" xfId="16" applyFont="1" applyAlignment="1">
      <alignment vertical="center"/>
    </xf>
    <xf numFmtId="177" fontId="109" fillId="0" borderId="10" xfId="19" applyFont="1" applyBorder="1" applyAlignment="1">
      <alignment vertical="center"/>
    </xf>
    <xf numFmtId="177" fontId="109" fillId="0" borderId="42" xfId="19" applyFont="1" applyBorder="1" applyAlignment="1">
      <alignment vertical="center"/>
    </xf>
    <xf numFmtId="177" fontId="108" fillId="0" borderId="0" xfId="19" applyFont="1" applyFill="1" applyAlignment="1">
      <alignment vertical="center"/>
    </xf>
    <xf numFmtId="177" fontId="108" fillId="0" borderId="0" xfId="16" applyFont="1" applyFill="1" applyAlignment="1">
      <alignment vertical="center"/>
    </xf>
    <xf numFmtId="177" fontId="108" fillId="0" borderId="10" xfId="16" applyFont="1" applyFill="1" applyBorder="1" applyAlignment="1">
      <alignment vertical="center"/>
    </xf>
    <xf numFmtId="177" fontId="108" fillId="0" borderId="42" xfId="16" applyFont="1" applyFill="1" applyBorder="1" applyAlignment="1">
      <alignment vertical="center"/>
    </xf>
    <xf numFmtId="177" fontId="108" fillId="0" borderId="10" xfId="16" applyFont="1" applyBorder="1" applyAlignment="1">
      <alignment vertical="center"/>
    </xf>
    <xf numFmtId="177" fontId="108" fillId="0" borderId="42" xfId="16" applyFont="1" applyBorder="1" applyAlignment="1">
      <alignment vertical="center"/>
    </xf>
    <xf numFmtId="184" fontId="14" fillId="8" borderId="1" xfId="0" applyNumberFormat="1" applyFont="1" applyFill="1" applyBorder="1" applyAlignment="1">
      <alignment horizontal="right" vertical="center" wrapText="1"/>
    </xf>
    <xf numFmtId="184" fontId="15" fillId="21" borderId="1" xfId="14" applyNumberFormat="1" applyFont="1" applyFill="1" applyBorder="1" applyAlignment="1" applyProtection="1">
      <alignment horizontal="left" vertical="center"/>
      <protection locked="0"/>
    </xf>
    <xf numFmtId="168" fontId="15" fillId="21" borderId="1" xfId="5" applyNumberFormat="1" applyFont="1" applyFill="1" applyBorder="1" applyAlignment="1" applyProtection="1">
      <alignment horizontal="left" vertical="center"/>
      <protection locked="0"/>
    </xf>
    <xf numFmtId="185" fontId="15" fillId="21" borderId="1" xfId="5" applyNumberFormat="1" applyFont="1" applyFill="1" applyBorder="1" applyAlignment="1" applyProtection="1">
      <alignment horizontal="left" vertical="center"/>
      <protection locked="0"/>
    </xf>
    <xf numFmtId="0" fontId="14" fillId="24" borderId="84" xfId="0" applyFont="1" applyFill="1" applyBorder="1" applyAlignment="1">
      <alignment horizontal="center" vertical="center"/>
    </xf>
    <xf numFmtId="0" fontId="14" fillId="24" borderId="85" xfId="0" applyFont="1" applyFill="1" applyBorder="1" applyAlignment="1">
      <alignment horizontal="center" vertical="center"/>
    </xf>
    <xf numFmtId="0" fontId="15" fillId="24" borderId="20" xfId="0" applyFont="1" applyFill="1" applyBorder="1" applyAlignment="1">
      <alignment horizontal="left" vertical="center"/>
    </xf>
    <xf numFmtId="184" fontId="15" fillId="8" borderId="86" xfId="0" applyNumberFormat="1" applyFont="1" applyFill="1" applyBorder="1" applyAlignment="1">
      <alignment horizontal="left" vertical="center"/>
    </xf>
    <xf numFmtId="184" fontId="14" fillId="8" borderId="22" xfId="0" applyNumberFormat="1" applyFont="1" applyFill="1" applyBorder="1" applyAlignment="1">
      <alignment horizontal="left" vertical="center"/>
    </xf>
    <xf numFmtId="184" fontId="14" fillId="8" borderId="87" xfId="0" applyNumberFormat="1" applyFont="1" applyFill="1" applyBorder="1" applyAlignment="1">
      <alignment horizontal="left" vertical="center"/>
    </xf>
    <xf numFmtId="0" fontId="15" fillId="24" borderId="81" xfId="0" applyFont="1" applyFill="1" applyBorder="1" applyAlignment="1">
      <alignment horizontal="left" vertical="center"/>
    </xf>
    <xf numFmtId="168" fontId="14" fillId="24" borderId="85" xfId="5" applyNumberFormat="1" applyFont="1" applyFill="1" applyBorder="1" applyAlignment="1">
      <alignment horizontal="left" vertical="center"/>
    </xf>
    <xf numFmtId="0" fontId="0" fillId="7" borderId="0" xfId="0" applyFill="1" applyAlignment="1">
      <alignment vertical="center"/>
    </xf>
    <xf numFmtId="0" fontId="47" fillId="7" borderId="0" xfId="0" applyFont="1" applyFill="1" applyAlignment="1">
      <alignment vertical="center"/>
    </xf>
    <xf numFmtId="0" fontId="14" fillId="24" borderId="83" xfId="0" applyFont="1" applyFill="1" applyBorder="1" applyAlignment="1">
      <alignment horizontal="left" vertical="center"/>
    </xf>
    <xf numFmtId="174" fontId="14" fillId="8" borderId="39" xfId="0" applyNumberFormat="1" applyFont="1" applyFill="1" applyBorder="1" applyAlignment="1">
      <alignment vertical="center"/>
    </xf>
    <xf numFmtId="174" fontId="15" fillId="8" borderId="39" xfId="0" applyNumberFormat="1" applyFont="1" applyFill="1" applyBorder="1" applyAlignment="1">
      <alignment vertical="center"/>
    </xf>
    <xf numFmtId="0" fontId="15" fillId="29" borderId="3" xfId="0" applyFont="1" applyFill="1" applyBorder="1"/>
    <xf numFmtId="0" fontId="15" fillId="29" borderId="13" xfId="0" applyFont="1" applyFill="1" applyBorder="1"/>
    <xf numFmtId="177" fontId="61" fillId="7" borderId="0" xfId="16" applyFont="1" applyFill="1" applyBorder="1" applyProtection="1">
      <alignment vertical="top"/>
    </xf>
    <xf numFmtId="0" fontId="14" fillId="7" borderId="0" xfId="0" applyFont="1" applyFill="1"/>
    <xf numFmtId="0" fontId="15" fillId="29" borderId="30" xfId="0" applyFont="1" applyFill="1" applyBorder="1"/>
    <xf numFmtId="168" fontId="15" fillId="21" borderId="8" xfId="5" applyNumberFormat="1" applyFont="1" applyFill="1" applyBorder="1" applyAlignment="1" applyProtection="1">
      <alignment vertical="center"/>
    </xf>
    <xf numFmtId="168" fontId="15" fillId="21" borderId="9" xfId="5" applyNumberFormat="1" applyFont="1" applyFill="1" applyBorder="1" applyAlignment="1" applyProtection="1">
      <alignment vertical="center"/>
    </xf>
    <xf numFmtId="168" fontId="15" fillId="21" borderId="38" xfId="5" applyNumberFormat="1" applyFont="1" applyFill="1" applyBorder="1" applyAlignment="1" applyProtection="1">
      <alignment vertical="center"/>
    </xf>
    <xf numFmtId="168" fontId="15" fillId="21" borderId="39" xfId="5" applyNumberFormat="1" applyFont="1" applyFill="1" applyBorder="1" applyAlignment="1" applyProtection="1">
      <alignment vertical="center"/>
    </xf>
    <xf numFmtId="49" fontId="14" fillId="20" borderId="54" xfId="0" applyNumberFormat="1" applyFont="1" applyFill="1" applyBorder="1" applyAlignment="1">
      <alignment vertical="center"/>
    </xf>
    <xf numFmtId="49" fontId="14" fillId="20" borderId="44" xfId="0" applyNumberFormat="1" applyFont="1" applyFill="1" applyBorder="1" applyAlignment="1">
      <alignment vertical="center"/>
    </xf>
    <xf numFmtId="180" fontId="37" fillId="20" borderId="47" xfId="16" applyNumberFormat="1" applyFont="1" applyFill="1" applyBorder="1" applyAlignment="1" applyProtection="1">
      <alignment horizontal="center" vertical="center"/>
    </xf>
    <xf numFmtId="186" fontId="15" fillId="21" borderId="1" xfId="5" applyNumberFormat="1" applyFont="1" applyFill="1" applyBorder="1" applyAlignment="1" applyProtection="1">
      <alignment vertical="center"/>
      <protection locked="0"/>
    </xf>
    <xf numFmtId="186" fontId="15" fillId="21" borderId="22" xfId="5" applyNumberFormat="1" applyFont="1" applyFill="1" applyBorder="1" applyAlignment="1" applyProtection="1">
      <alignment vertical="center"/>
      <protection locked="0"/>
    </xf>
    <xf numFmtId="0" fontId="15" fillId="10" borderId="0" xfId="13" applyFont="1" applyFill="1"/>
    <xf numFmtId="169" fontId="15" fillId="13" borderId="1" xfId="7" applyNumberFormat="1" applyFont="1" applyFill="1" applyBorder="1" applyAlignment="1" applyProtection="1">
      <alignment vertical="center"/>
      <protection locked="0"/>
    </xf>
    <xf numFmtId="2" fontId="15" fillId="21" borderId="1" xfId="13" applyNumberFormat="1" applyFont="1" applyFill="1" applyBorder="1" applyAlignment="1" applyProtection="1">
      <alignment vertical="center"/>
      <protection locked="0"/>
    </xf>
    <xf numFmtId="2" fontId="14" fillId="0" borderId="15" xfId="13" applyNumberFormat="1" applyFont="1" applyBorder="1" applyAlignment="1">
      <alignment vertical="center"/>
    </xf>
    <xf numFmtId="2" fontId="15" fillId="21" borderId="22" xfId="13" applyNumberFormat="1" applyFont="1" applyFill="1" applyBorder="1" applyAlignment="1" applyProtection="1">
      <alignment vertical="center"/>
      <protection locked="0"/>
    </xf>
    <xf numFmtId="2" fontId="14" fillId="0" borderId="14" xfId="13" applyNumberFormat="1" applyFont="1" applyBorder="1" applyAlignment="1">
      <alignment vertical="center"/>
    </xf>
    <xf numFmtId="14" fontId="15" fillId="24" borderId="1" xfId="0" applyNumberFormat="1" applyFont="1" applyFill="1" applyBorder="1" applyAlignment="1">
      <alignment horizontal="right" wrapText="1"/>
    </xf>
    <xf numFmtId="14" fontId="15" fillId="21" borderId="1" xfId="0" applyNumberFormat="1" applyFont="1" applyFill="1" applyBorder="1" applyAlignment="1" applyProtection="1">
      <alignment horizontal="right" vertical="center"/>
      <protection locked="0"/>
    </xf>
    <xf numFmtId="14" fontId="15" fillId="24" borderId="1" xfId="0" applyNumberFormat="1" applyFont="1" applyFill="1" applyBorder="1" applyAlignment="1">
      <alignment horizontal="right" vertical="center"/>
    </xf>
    <xf numFmtId="168" fontId="15" fillId="8" borderId="22" xfId="5" applyNumberFormat="1" applyFont="1" applyFill="1" applyBorder="1" applyAlignment="1">
      <alignment horizontal="left" vertical="center"/>
    </xf>
    <xf numFmtId="168" fontId="14" fillId="8" borderId="87" xfId="5" applyNumberFormat="1" applyFont="1" applyFill="1" applyBorder="1" applyAlignment="1">
      <alignment horizontal="left" vertical="center"/>
    </xf>
    <xf numFmtId="0" fontId="0" fillId="7" borderId="0" xfId="0" applyFill="1" applyAlignment="1">
      <alignment vertical="top"/>
    </xf>
    <xf numFmtId="0" fontId="111" fillId="7" borderId="0" xfId="0" applyFont="1" applyFill="1" applyAlignment="1">
      <alignment vertical="top"/>
    </xf>
    <xf numFmtId="0" fontId="110" fillId="7" borderId="0" xfId="0" applyFont="1" applyFill="1" applyAlignment="1">
      <alignment vertical="top"/>
    </xf>
    <xf numFmtId="0" fontId="14" fillId="7" borderId="1" xfId="13" applyFont="1" applyFill="1" applyBorder="1" applyAlignment="1">
      <alignment horizontal="left" vertical="center" wrapText="1"/>
    </xf>
    <xf numFmtId="0" fontId="14" fillId="7" borderId="84" xfId="13" applyFont="1" applyFill="1" applyBorder="1" applyAlignment="1">
      <alignment horizontal="left" vertical="center" wrapText="1"/>
    </xf>
    <xf numFmtId="0" fontId="14" fillId="7" borderId="82" xfId="13" applyFont="1" applyFill="1" applyBorder="1" applyAlignment="1">
      <alignment horizontal="left" vertical="center" wrapText="1"/>
    </xf>
    <xf numFmtId="0" fontId="14" fillId="24" borderId="83" xfId="0" applyFont="1" applyFill="1" applyBorder="1" applyAlignment="1">
      <alignment horizontal="left" vertical="center" wrapText="1"/>
    </xf>
    <xf numFmtId="168" fontId="15" fillId="24" borderId="1" xfId="5" applyNumberFormat="1" applyFont="1" applyFill="1" applyBorder="1" applyAlignment="1" applyProtection="1">
      <alignment horizontal="left" vertical="center"/>
    </xf>
    <xf numFmtId="185" fontId="15" fillId="24" borderId="1" xfId="5" applyNumberFormat="1" applyFont="1" applyFill="1" applyBorder="1" applyAlignment="1" applyProtection="1">
      <alignment horizontal="left" vertical="center"/>
    </xf>
    <xf numFmtId="0" fontId="4" fillId="7" borderId="0" xfId="0" applyFont="1" applyFill="1" applyAlignment="1">
      <alignment vertical="center"/>
    </xf>
    <xf numFmtId="0" fontId="15" fillId="8" borderId="8" xfId="13" applyFont="1" applyFill="1" applyBorder="1" applyAlignment="1">
      <alignment vertical="center"/>
    </xf>
    <xf numFmtId="0" fontId="15" fillId="8" borderId="8" xfId="0" applyFont="1" applyFill="1" applyBorder="1" applyAlignment="1">
      <alignment vertical="center"/>
    </xf>
    <xf numFmtId="0" fontId="14" fillId="24" borderId="0" xfId="11" applyFont="1" applyFill="1"/>
    <xf numFmtId="0" fontId="15" fillId="24" borderId="0" xfId="11" quotePrefix="1" applyFont="1" applyFill="1"/>
    <xf numFmtId="185" fontId="15" fillId="24" borderId="86" xfId="5" applyNumberFormat="1" applyFont="1" applyFill="1" applyBorder="1" applyAlignment="1">
      <alignment horizontal="left" vertical="center"/>
    </xf>
    <xf numFmtId="0" fontId="15" fillId="0" borderId="0" xfId="11" quotePrefix="1" applyFont="1"/>
    <xf numFmtId="0" fontId="15" fillId="21" borderId="2" xfId="13" applyFont="1" applyFill="1" applyBorder="1" applyAlignment="1">
      <alignment vertical="center"/>
    </xf>
    <xf numFmtId="0" fontId="15" fillId="21" borderId="9" xfId="13" applyFont="1" applyFill="1" applyBorder="1" applyAlignment="1">
      <alignment vertical="center"/>
    </xf>
    <xf numFmtId="0" fontId="15" fillId="21" borderId="37" xfId="13" applyFont="1" applyFill="1" applyBorder="1" applyAlignment="1">
      <alignment vertical="center"/>
    </xf>
    <xf numFmtId="0" fontId="15" fillId="21" borderId="38" xfId="13" applyFont="1" applyFill="1" applyBorder="1" applyAlignment="1">
      <alignment vertical="center"/>
    </xf>
    <xf numFmtId="0" fontId="15" fillId="21" borderId="39" xfId="13" applyFont="1" applyFill="1" applyBorder="1" applyAlignment="1">
      <alignment vertical="center"/>
    </xf>
    <xf numFmtId="0" fontId="15" fillId="21" borderId="58" xfId="13" applyFont="1" applyFill="1" applyBorder="1" applyAlignment="1">
      <alignment vertical="center"/>
    </xf>
    <xf numFmtId="0" fontId="15" fillId="21" borderId="45" xfId="13" applyFont="1" applyFill="1" applyBorder="1" applyAlignment="1">
      <alignment vertical="center"/>
    </xf>
    <xf numFmtId="0" fontId="15" fillId="21" borderId="59" xfId="13" applyFont="1" applyFill="1" applyBorder="1" applyAlignment="1">
      <alignment vertical="center"/>
    </xf>
    <xf numFmtId="0" fontId="112" fillId="0" borderId="0" xfId="11" applyFont="1" applyAlignment="1">
      <alignment vertical="top"/>
    </xf>
    <xf numFmtId="0" fontId="112" fillId="0" borderId="0" xfId="4" applyFont="1" applyFill="1" applyAlignment="1" applyProtection="1">
      <alignment vertical="top"/>
    </xf>
    <xf numFmtId="0" fontId="112" fillId="7" borderId="0" xfId="11" applyFont="1" applyFill="1"/>
    <xf numFmtId="0" fontId="15" fillId="21" borderId="1" xfId="13" applyFont="1" applyFill="1" applyBorder="1" applyAlignment="1" applyProtection="1">
      <alignment horizontal="right" vertical="center"/>
      <protection locked="0"/>
    </xf>
    <xf numFmtId="0" fontId="15" fillId="21" borderId="22" xfId="13" applyFont="1" applyFill="1" applyBorder="1" applyAlignment="1" applyProtection="1">
      <alignment horizontal="right" vertical="center"/>
      <protection locked="0"/>
    </xf>
    <xf numFmtId="0" fontId="15" fillId="30" borderId="1" xfId="0" applyFont="1" applyFill="1" applyBorder="1" applyAlignment="1" applyProtection="1">
      <alignment horizontal="right" vertical="center"/>
      <protection locked="0"/>
    </xf>
    <xf numFmtId="0" fontId="15" fillId="30" borderId="19" xfId="0" applyFont="1" applyFill="1" applyBorder="1" applyAlignment="1" applyProtection="1">
      <alignment horizontal="right" vertical="center"/>
      <protection locked="0"/>
    </xf>
    <xf numFmtId="1" fontId="14" fillId="24" borderId="1" xfId="0" applyNumberFormat="1" applyFont="1" applyFill="1" applyBorder="1" applyAlignment="1">
      <alignment horizontal="center" wrapText="1"/>
    </xf>
    <xf numFmtId="0" fontId="113" fillId="7" borderId="0" xfId="11" applyFont="1" applyFill="1" applyAlignment="1">
      <alignment vertical="top"/>
    </xf>
    <xf numFmtId="0" fontId="114" fillId="0" borderId="0" xfId="11" applyFont="1" applyAlignment="1">
      <alignment vertical="top"/>
    </xf>
    <xf numFmtId="0" fontId="115" fillId="0" borderId="0" xfId="4" applyFont="1" applyAlignment="1" applyProtection="1">
      <alignment vertical="center"/>
    </xf>
    <xf numFmtId="0" fontId="115" fillId="0" borderId="0" xfId="4" applyFont="1" applyAlignment="1" applyProtection="1"/>
    <xf numFmtId="0" fontId="115" fillId="0" borderId="0" xfId="4" applyFont="1" applyFill="1" applyAlignment="1" applyProtection="1">
      <alignment vertical="top"/>
    </xf>
    <xf numFmtId="0" fontId="115" fillId="0" borderId="0" xfId="4" applyFont="1" applyFill="1" applyAlignment="1" applyProtection="1"/>
    <xf numFmtId="0" fontId="114" fillId="0" borderId="0" xfId="0" applyFont="1"/>
    <xf numFmtId="177" fontId="116" fillId="0" borderId="0" xfId="16" applyFont="1">
      <alignment vertical="top"/>
    </xf>
    <xf numFmtId="178" fontId="116" fillId="0" borderId="0" xfId="16" applyNumberFormat="1" applyFont="1">
      <alignment vertical="top"/>
    </xf>
    <xf numFmtId="0" fontId="117" fillId="7" borderId="0" xfId="11" applyFont="1" applyFill="1" applyAlignment="1">
      <alignment vertical="top"/>
    </xf>
    <xf numFmtId="8" fontId="3" fillId="0" borderId="0" xfId="0" applyNumberFormat="1" applyFont="1"/>
    <xf numFmtId="0" fontId="115" fillId="7" borderId="0" xfId="4" applyFont="1" applyFill="1" applyAlignment="1" applyProtection="1">
      <alignment horizontal="left"/>
    </xf>
    <xf numFmtId="0" fontId="32" fillId="4" borderId="0" xfId="13" applyFont="1" applyFill="1" applyAlignment="1">
      <alignment horizontal="center" vertical="center"/>
    </xf>
    <xf numFmtId="0" fontId="14" fillId="0" borderId="82" xfId="0" applyFont="1" applyBorder="1" applyAlignment="1">
      <alignment horizontal="left" vertical="center" wrapText="1"/>
    </xf>
    <xf numFmtId="0" fontId="14" fillId="0" borderId="55" xfId="0" applyFont="1" applyBorder="1" applyAlignment="1">
      <alignment horizontal="left" vertical="center" wrapText="1"/>
    </xf>
    <xf numFmtId="0" fontId="14" fillId="0" borderId="83" xfId="0" applyFont="1" applyBorder="1" applyAlignment="1">
      <alignment horizontal="left" vertical="center" wrapText="1"/>
    </xf>
    <xf numFmtId="0" fontId="14" fillId="7" borderId="82" xfId="0" applyFont="1" applyFill="1" applyBorder="1" applyAlignment="1">
      <alignment horizontal="left" vertical="center"/>
    </xf>
    <xf numFmtId="0" fontId="14" fillId="7" borderId="55" xfId="0" applyFont="1" applyFill="1" applyBorder="1" applyAlignment="1">
      <alignment horizontal="left" vertical="center"/>
    </xf>
    <xf numFmtId="0" fontId="14" fillId="7" borderId="83" xfId="0" applyFont="1" applyFill="1" applyBorder="1" applyAlignment="1">
      <alignment horizontal="left" vertical="center"/>
    </xf>
    <xf numFmtId="0" fontId="14" fillId="0" borderId="8" xfId="13" applyFont="1" applyBorder="1" applyAlignment="1">
      <alignment horizontal="center" vertical="center" wrapText="1"/>
    </xf>
    <xf numFmtId="0" fontId="14" fillId="0" borderId="9"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2" xfId="13" applyFont="1" applyBorder="1" applyAlignment="1">
      <alignment horizontal="center" vertical="center" wrapText="1"/>
    </xf>
    <xf numFmtId="0" fontId="15" fillId="21" borderId="1" xfId="13" applyFont="1" applyFill="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15" fillId="21" borderId="22" xfId="13"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15" fillId="13" borderId="1" xfId="13" applyFont="1" applyFill="1" applyBorder="1" applyAlignment="1" applyProtection="1">
      <alignment horizontal="left" vertical="center"/>
      <protection locked="0"/>
    </xf>
    <xf numFmtId="0" fontId="15" fillId="21" borderId="2" xfId="13" applyFont="1" applyFill="1" applyBorder="1" applyAlignment="1" applyProtection="1">
      <alignment horizontal="left" vertical="center"/>
      <protection locked="0"/>
    </xf>
    <xf numFmtId="0" fontId="15" fillId="21" borderId="9" xfId="13" applyFont="1" applyFill="1" applyBorder="1" applyAlignment="1" applyProtection="1">
      <alignment horizontal="left" vertical="center"/>
      <protection locked="0"/>
    </xf>
    <xf numFmtId="0" fontId="101" fillId="21" borderId="16" xfId="0" applyFont="1" applyFill="1" applyBorder="1" applyAlignment="1" applyProtection="1">
      <alignment wrapText="1"/>
      <protection locked="0"/>
    </xf>
    <xf numFmtId="0" fontId="102" fillId="13" borderId="17" xfId="0" applyFont="1" applyFill="1" applyBorder="1" applyAlignment="1">
      <alignment wrapText="1"/>
    </xf>
    <xf numFmtId="0" fontId="102" fillId="13" borderId="18" xfId="0" applyFont="1" applyFill="1" applyBorder="1" applyAlignment="1">
      <alignment wrapText="1"/>
    </xf>
    <xf numFmtId="165" fontId="15" fillId="20" borderId="2" xfId="0" applyNumberFormat="1" applyFont="1" applyFill="1" applyBorder="1"/>
    <xf numFmtId="0" fontId="0" fillId="0" borderId="8" xfId="0" applyBorder="1"/>
    <xf numFmtId="0" fontId="0" fillId="0" borderId="9" xfId="0" applyBorder="1"/>
    <xf numFmtId="165" fontId="15" fillId="20" borderId="37" xfId="0" applyNumberFormat="1" applyFont="1" applyFill="1" applyBorder="1"/>
    <xf numFmtId="0" fontId="0" fillId="0" borderId="38" xfId="0" applyBorder="1"/>
    <xf numFmtId="0" fontId="0" fillId="0" borderId="39" xfId="0" applyBorder="1"/>
    <xf numFmtId="0" fontId="101" fillId="21" borderId="30" xfId="0" applyFont="1" applyFill="1" applyBorder="1" applyAlignment="1" applyProtection="1">
      <alignment wrapText="1"/>
      <protection locked="0"/>
    </xf>
    <xf numFmtId="0" fontId="102" fillId="13" borderId="25" xfId="0" applyFont="1" applyFill="1" applyBorder="1" applyAlignment="1">
      <alignment wrapText="1"/>
    </xf>
    <xf numFmtId="0" fontId="102" fillId="13" borderId="26" xfId="0" applyFont="1" applyFill="1" applyBorder="1" applyAlignment="1">
      <alignment wrapText="1"/>
    </xf>
    <xf numFmtId="0" fontId="15" fillId="0" borderId="0" xfId="0" applyFont="1" applyAlignment="1">
      <alignment horizontal="center"/>
    </xf>
    <xf numFmtId="49" fontId="15" fillId="20" borderId="54" xfId="0" applyNumberFormat="1" applyFont="1" applyFill="1" applyBorder="1" applyAlignment="1">
      <alignment vertical="top" wrapText="1"/>
    </xf>
    <xf numFmtId="0" fontId="0" fillId="0" borderId="95" xfId="0" applyBorder="1" applyAlignment="1">
      <alignment vertical="top" wrapText="1"/>
    </xf>
    <xf numFmtId="0" fontId="14" fillId="24" borderId="101" xfId="0" applyFont="1" applyFill="1" applyBorder="1" applyAlignment="1">
      <alignment vertical="top"/>
    </xf>
    <xf numFmtId="0" fontId="15" fillId="0" borderId="36" xfId="0" applyFont="1" applyBorder="1" applyAlignment="1">
      <alignment vertical="top"/>
    </xf>
    <xf numFmtId="0" fontId="15" fillId="0" borderId="35" xfId="0" applyFont="1" applyBorder="1" applyAlignment="1">
      <alignment vertical="top"/>
    </xf>
    <xf numFmtId="0" fontId="15" fillId="24" borderId="102" xfId="0" applyFont="1" applyFill="1" applyBorder="1" applyAlignment="1">
      <alignment vertical="top" wrapText="1"/>
    </xf>
    <xf numFmtId="0" fontId="15" fillId="5" borderId="25" xfId="0" applyFont="1" applyFill="1" applyBorder="1" applyAlignment="1">
      <alignment vertical="top" wrapText="1"/>
    </xf>
    <xf numFmtId="0" fontId="15" fillId="5" borderId="26" xfId="0" applyFont="1" applyFill="1" applyBorder="1" applyAlignment="1">
      <alignment vertical="top" wrapText="1"/>
    </xf>
    <xf numFmtId="0" fontId="15" fillId="5" borderId="73" xfId="0" applyFont="1" applyFill="1" applyBorder="1" applyAlignment="1">
      <alignment vertical="top" wrapText="1"/>
    </xf>
    <xf numFmtId="0" fontId="15" fillId="5" borderId="0" xfId="0" applyFont="1" applyFill="1" applyAlignment="1">
      <alignment vertical="top" wrapText="1"/>
    </xf>
    <xf numFmtId="0" fontId="15" fillId="5" borderId="27" xfId="0" applyFont="1" applyFill="1" applyBorder="1" applyAlignment="1">
      <alignment vertical="top" wrapText="1"/>
    </xf>
    <xf numFmtId="0" fontId="15" fillId="5" borderId="103" xfId="0" applyFont="1" applyFill="1" applyBorder="1" applyAlignment="1">
      <alignment vertical="top" wrapText="1"/>
    </xf>
    <xf numFmtId="0" fontId="15" fillId="5" borderId="28" xfId="0" applyFont="1" applyFill="1" applyBorder="1" applyAlignment="1">
      <alignment vertical="top" wrapText="1"/>
    </xf>
    <xf numFmtId="0" fontId="15" fillId="5" borderId="29" xfId="0" applyFont="1" applyFill="1" applyBorder="1" applyAlignment="1">
      <alignment vertical="top" wrapText="1"/>
    </xf>
    <xf numFmtId="165" fontId="15" fillId="20" borderId="9" xfId="13" applyNumberFormat="1" applyFont="1" applyFill="1" applyBorder="1" applyAlignment="1">
      <alignment horizontal="left" vertical="top"/>
    </xf>
    <xf numFmtId="0" fontId="0" fillId="0" borderId="1" xfId="0" applyBorder="1" applyAlignment="1">
      <alignment vertical="top"/>
    </xf>
    <xf numFmtId="165" fontId="15" fillId="20" borderId="9" xfId="0" applyNumberFormat="1" applyFont="1" applyFill="1" applyBorder="1" applyAlignment="1">
      <alignment vertical="top"/>
    </xf>
    <xf numFmtId="0" fontId="14" fillId="24" borderId="92" xfId="0" applyFont="1" applyFill="1" applyBorder="1" applyAlignment="1">
      <alignment horizontal="left" vertical="top" wrapText="1"/>
    </xf>
    <xf numFmtId="0" fontId="14" fillId="2" borderId="93" xfId="0" applyFont="1" applyFill="1" applyBorder="1" applyAlignment="1">
      <alignment horizontal="left" vertical="top" wrapText="1"/>
    </xf>
    <xf numFmtId="167" fontId="15" fillId="20" borderId="2" xfId="0" applyNumberFormat="1" applyFont="1" applyFill="1" applyBorder="1" applyAlignment="1">
      <alignment horizontal="center" vertical="top" wrapText="1"/>
    </xf>
    <xf numFmtId="167" fontId="15" fillId="9" borderId="96" xfId="0" applyNumberFormat="1" applyFont="1" applyFill="1" applyBorder="1" applyAlignment="1">
      <alignment horizontal="center" vertical="top" wrapText="1"/>
    </xf>
  </cellXfs>
  <cellStyles count="22">
    <cellStyle name="40% - Accent3" xfId="15" builtinId="39"/>
    <cellStyle name="Euro" xfId="1" xr:uid="{00000000-0005-0000-0000-000000000000}"/>
    <cellStyle name="Euro 2" xfId="2" xr:uid="{00000000-0005-0000-0000-000001000000}"/>
    <cellStyle name="Euro 3" xfId="3" xr:uid="{00000000-0005-0000-0000-000002000000}"/>
    <cellStyle name="Hyperlink" xfId="4" builtinId="8"/>
    <cellStyle name="Hyperlink 2" xfId="17" xr:uid="{D263DD57-FFA6-47FC-963C-91A989E11CFE}"/>
    <cellStyle name="Komma" xfId="5" builtinId="3"/>
    <cellStyle name="Komma 2" xfId="6" xr:uid="{00000000-0005-0000-0000-000005000000}"/>
    <cellStyle name="Komma 3" xfId="7" xr:uid="{00000000-0005-0000-0000-000006000000}"/>
    <cellStyle name="Komma 4" xfId="19" xr:uid="{2D7A5747-5774-4C99-91D2-0674C752464F}"/>
    <cellStyle name="Procent" xfId="8" builtinId="5"/>
    <cellStyle name="Procent 2" xfId="9" xr:uid="{00000000-0005-0000-0000-000008000000}"/>
    <cellStyle name="Procent 3" xfId="10" xr:uid="{00000000-0005-0000-0000-000009000000}"/>
    <cellStyle name="Procent 4" xfId="18" xr:uid="{95048695-387B-4FFA-BAEA-83469357380C}"/>
    <cellStyle name="Standaard" xfId="0" builtinId="0"/>
    <cellStyle name="Standaard 2" xfId="11" xr:uid="{00000000-0005-0000-0000-00000B000000}"/>
    <cellStyle name="Standaard 2 2" xfId="12" xr:uid="{00000000-0005-0000-0000-00000C000000}"/>
    <cellStyle name="Standaard 3" xfId="16" xr:uid="{2E54A7F1-9B26-43A2-9644-7DAE5CC109E4}"/>
    <cellStyle name="Standaard 3 2" xfId="21" xr:uid="{E609138E-A58A-45F9-AEA1-25AACFE871DD}"/>
    <cellStyle name="Standaard_TEMPLATE FEM BEGROTING DEMO" xfId="13" xr:uid="{00000000-0005-0000-0000-00000D000000}"/>
    <cellStyle name="Valuta" xfId="14" builtinId="4"/>
    <cellStyle name="Valuta 2" xfId="20" xr:uid="{78314849-7FCC-4773-8248-546951E1AAE3}"/>
  </cellStyles>
  <dxfs count="20">
    <dxf>
      <fill>
        <patternFill>
          <bgColor rgb="FFFFFF99"/>
        </patternFill>
      </fill>
    </dxf>
    <dxf>
      <fill>
        <patternFill>
          <bgColor rgb="FFCCCCCC"/>
        </patternFill>
      </fill>
    </dxf>
    <dxf>
      <fill>
        <patternFill>
          <bgColor rgb="FFFFC000"/>
        </patternFill>
      </fill>
    </dxf>
    <dxf>
      <fill>
        <patternFill>
          <bgColor rgb="FFFFC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7BC7"/>
      <color rgb="FFFFFFCC"/>
      <color rgb="FFD9D9D9"/>
      <color rgb="FFCCCCCC"/>
      <color rgb="FF9E2016"/>
      <color rgb="FFBC261A"/>
      <color rgb="FFD52B1E"/>
      <color rgb="FFD51B1E"/>
      <color rgb="FFCE7C78"/>
      <color rgb="FFB2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Kasstroomoverzicht onrendabele topberekening</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manualLayout>
          <c:layoutTarget val="inner"/>
          <c:xMode val="edge"/>
          <c:yMode val="edge"/>
          <c:x val="5.3307157928122156E-2"/>
          <c:y val="8.0007216452343863E-2"/>
          <c:w val="0.92890065897789131"/>
          <c:h val="0.79473479902472088"/>
        </c:manualLayout>
      </c:layout>
      <c:barChart>
        <c:barDir val="col"/>
        <c:grouping val="stacked"/>
        <c:varyColors val="0"/>
        <c:ser>
          <c:idx val="0"/>
          <c:order val="0"/>
          <c:tx>
            <c:v>Kasstroom</c:v>
          </c:tx>
          <c:spPr>
            <a:solidFill>
              <a:schemeClr val="accent1"/>
            </a:solidFill>
            <a:ln>
              <a:noFill/>
            </a:ln>
            <a:effectLst/>
          </c:spPr>
          <c:invertIfNegative val="0"/>
          <c:cat>
            <c:numRef>
              <c:f>'ORT Berekening'!$J$5:$AN$5</c:f>
              <c:numCache>
                <c:formatCode>0</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'ORT Berekening'!$J$223:$AN$223</c:f>
              <c:numCache>
                <c:formatCode>#.##0_);\(#.##0\);"-  ";"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E31-408A-860F-E8FEDDCB8B1C}"/>
            </c:ext>
          </c:extLst>
        </c:ser>
        <c:dLbls>
          <c:showLegendKey val="0"/>
          <c:showVal val="0"/>
          <c:showCatName val="0"/>
          <c:showSerName val="0"/>
          <c:showPercent val="0"/>
          <c:showBubbleSize val="0"/>
        </c:dLbls>
        <c:gapWidth val="150"/>
        <c:overlap val="100"/>
        <c:axId val="710174072"/>
        <c:axId val="710181288"/>
      </c:barChart>
      <c:lineChart>
        <c:grouping val="standard"/>
        <c:varyColors val="0"/>
        <c:ser>
          <c:idx val="1"/>
          <c:order val="1"/>
          <c:tx>
            <c:v>Cum. Kasstroom</c:v>
          </c:tx>
          <c:spPr>
            <a:ln w="28575" cap="rnd">
              <a:solidFill>
                <a:schemeClr val="accent2"/>
              </a:solidFill>
              <a:round/>
            </a:ln>
            <a:effectLst/>
          </c:spPr>
          <c:marker>
            <c:symbol val="none"/>
          </c:marker>
          <c:cat>
            <c:numRef>
              <c:f>'ORT Berekening'!$J$5:$AN$5</c:f>
              <c:numCache>
                <c:formatCode>0</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'ORT Berekening'!$J$224:$AN$224</c:f>
              <c:numCache>
                <c:formatCode>#.##0_);\(#.##0\);"-  ";"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2E31-408A-860F-E8FEDDCB8B1C}"/>
            </c:ext>
          </c:extLst>
        </c:ser>
        <c:ser>
          <c:idx val="2"/>
          <c:order val="2"/>
          <c:tx>
            <c:v>Cum. Kasstroom incl. WIS subsidie</c:v>
          </c:tx>
          <c:spPr>
            <a:ln w="28575" cap="rnd">
              <a:solidFill>
                <a:schemeClr val="accent3"/>
              </a:solidFill>
              <a:prstDash val="solid"/>
              <a:round/>
            </a:ln>
            <a:effectLst/>
          </c:spPr>
          <c:marker>
            <c:symbol val="none"/>
          </c:marker>
          <c:cat>
            <c:numRef>
              <c:f>'ORT Berekening'!$J$5:$AN$5</c:f>
              <c:numCache>
                <c:formatCode>0</c:formatCode>
                <c:ptCount val="3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numCache>
            </c:numRef>
          </c:cat>
          <c:val>
            <c:numRef>
              <c:f>'ORT Berekening'!$J$234:$AN$234</c:f>
              <c:numCache>
                <c:formatCode>#.##0_);\(#.##0\);"-  ";" "@</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0-583C-4665-AB00-FE5094846A7D}"/>
            </c:ext>
          </c:extLst>
        </c:ser>
        <c:dLbls>
          <c:showLegendKey val="0"/>
          <c:showVal val="0"/>
          <c:showCatName val="0"/>
          <c:showSerName val="0"/>
          <c:showPercent val="0"/>
          <c:showBubbleSize val="0"/>
        </c:dLbls>
        <c:marker val="1"/>
        <c:smooth val="0"/>
        <c:axId val="710174072"/>
        <c:axId val="710181288"/>
      </c:lineChart>
      <c:catAx>
        <c:axId val="710174072"/>
        <c:scaling>
          <c:orientation val="minMax"/>
        </c:scaling>
        <c:delete val="0"/>
        <c:axPos val="b"/>
        <c:minorGridlines>
          <c:spPr>
            <a:ln w="9525" cap="flat" cmpd="sng" algn="ctr">
              <a:solidFill>
                <a:schemeClr val="tx1">
                  <a:lumMod val="5000"/>
                  <a:lumOff val="95000"/>
                </a:schemeClr>
              </a:solidFill>
              <a:round/>
            </a:ln>
            <a:effectLst/>
          </c:spPr>
        </c:minorGridlines>
        <c:numFmt formatCode="0"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0"/>
          <a:lstStyle/>
          <a:p>
            <a:pPr>
              <a:defRPr sz="800" b="0" i="0" u="none" strike="noStrike" kern="1200" baseline="0">
                <a:solidFill>
                  <a:schemeClr val="tx1">
                    <a:lumMod val="65000"/>
                    <a:lumOff val="35000"/>
                  </a:schemeClr>
                </a:solidFill>
                <a:latin typeface="+mn-lt"/>
                <a:ea typeface="+mn-ea"/>
                <a:cs typeface="+mn-cs"/>
              </a:defRPr>
            </a:pPr>
            <a:endParaRPr lang="nl-NL"/>
          </a:p>
        </c:txPr>
        <c:crossAx val="710181288"/>
        <c:crosses val="autoZero"/>
        <c:auto val="1"/>
        <c:lblAlgn val="ctr"/>
        <c:lblOffset val="100"/>
        <c:tickLblSkip val="1"/>
        <c:tickMarkSkip val="2"/>
        <c:noMultiLvlLbl val="0"/>
      </c:catAx>
      <c:valAx>
        <c:axId val="71018128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7101740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nl-NL" b="1"/>
              <a:t>Aantal aangesloten</a:t>
            </a:r>
            <a:r>
              <a:rPr lang="nl-NL" b="1" baseline="0"/>
              <a:t> woningen binnen de looptijd van het project </a:t>
            </a:r>
            <a:endParaRPr lang="nl-NL"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nl-NL"/>
        </a:p>
      </c:txPr>
    </c:title>
    <c:autoTitleDeleted val="0"/>
    <c:plotArea>
      <c:layout/>
      <c:areaChart>
        <c:grouping val="stacked"/>
        <c:varyColors val="0"/>
        <c:ser>
          <c:idx val="0"/>
          <c:order val="0"/>
          <c:tx>
            <c:strRef>
              <c:f>'ORT aansluitingen'!$C$55</c:f>
              <c:strCache>
                <c:ptCount val="1"/>
                <c:pt idx="0">
                  <c:v> Aantal aansluitingen grondgebonden woningen (cumulatief)</c:v>
                </c:pt>
              </c:strCache>
            </c:strRef>
          </c:tx>
          <c:spPr>
            <a:solidFill>
              <a:schemeClr val="accent1">
                <a:alpha val="68000"/>
              </a:schemeClr>
            </a:solidFill>
            <a:ln w="25400">
              <a:noFill/>
            </a:ln>
            <a:effectLst/>
          </c:spPr>
          <c:cat>
            <c:numRef>
              <c:f>'ORT aansluitingen'!$U$18:$AD$18</c:f>
              <c:numCache>
                <c:formatCode>0</c:formatCode>
                <c:ptCount val="10"/>
                <c:pt idx="0">
                  <c:v>1900</c:v>
                </c:pt>
                <c:pt idx="1">
                  <c:v>1901</c:v>
                </c:pt>
                <c:pt idx="2">
                  <c:v>1902</c:v>
                </c:pt>
                <c:pt idx="3">
                  <c:v>1903</c:v>
                </c:pt>
                <c:pt idx="4">
                  <c:v>1904</c:v>
                </c:pt>
                <c:pt idx="5">
                  <c:v>1905</c:v>
                </c:pt>
                <c:pt idx="6">
                  <c:v>1906</c:v>
                </c:pt>
                <c:pt idx="7">
                  <c:v>1907</c:v>
                </c:pt>
                <c:pt idx="8">
                  <c:v>1908</c:v>
                </c:pt>
                <c:pt idx="9">
                  <c:v>1909</c:v>
                </c:pt>
              </c:numCache>
            </c:numRef>
          </c:cat>
          <c:val>
            <c:numRef>
              <c:f>'ORT aansluitingen'!$U$55:$AD$55</c:f>
              <c:numCache>
                <c:formatCode>#.##0_);\(#.##0\);"-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04-43CE-8506-6630552E95F7}"/>
            </c:ext>
          </c:extLst>
        </c:ser>
        <c:ser>
          <c:idx val="1"/>
          <c:order val="1"/>
          <c:tx>
            <c:strRef>
              <c:f>'ORT aansluitingen'!$C$59</c:f>
              <c:strCache>
                <c:ptCount val="1"/>
                <c:pt idx="0">
                  <c:v> Aantal aansluitingen gestapeld (cumulatief)</c:v>
                </c:pt>
              </c:strCache>
            </c:strRef>
          </c:tx>
          <c:spPr>
            <a:solidFill>
              <a:schemeClr val="accent2">
                <a:alpha val="68000"/>
              </a:schemeClr>
            </a:solidFill>
            <a:ln w="25400">
              <a:noFill/>
            </a:ln>
            <a:effectLst/>
          </c:spPr>
          <c:cat>
            <c:numRef>
              <c:f>'ORT aansluitingen'!$U$18:$AD$18</c:f>
              <c:numCache>
                <c:formatCode>0</c:formatCode>
                <c:ptCount val="10"/>
                <c:pt idx="0">
                  <c:v>1900</c:v>
                </c:pt>
                <c:pt idx="1">
                  <c:v>1901</c:v>
                </c:pt>
                <c:pt idx="2">
                  <c:v>1902</c:v>
                </c:pt>
                <c:pt idx="3">
                  <c:v>1903</c:v>
                </c:pt>
                <c:pt idx="4">
                  <c:v>1904</c:v>
                </c:pt>
                <c:pt idx="5">
                  <c:v>1905</c:v>
                </c:pt>
                <c:pt idx="6">
                  <c:v>1906</c:v>
                </c:pt>
                <c:pt idx="7">
                  <c:v>1907</c:v>
                </c:pt>
                <c:pt idx="8">
                  <c:v>1908</c:v>
                </c:pt>
                <c:pt idx="9">
                  <c:v>1909</c:v>
                </c:pt>
              </c:numCache>
            </c:numRef>
          </c:cat>
          <c:val>
            <c:numRef>
              <c:f>'ORT aansluitingen'!$U$59:$AD$59</c:f>
              <c:numCache>
                <c:formatCode>#.##0_);\(#.##0\);"-  ";" "@</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04-43CE-8506-6630552E95F7}"/>
            </c:ext>
          </c:extLst>
        </c:ser>
        <c:ser>
          <c:idx val="2"/>
          <c:order val="2"/>
          <c:tx>
            <c:strRef>
              <c:f>'ORT aansluitingen'!$C$63</c:f>
              <c:strCache>
                <c:ptCount val="1"/>
                <c:pt idx="0">
                  <c:v> Aantal aansluitingen overige kleinverbruikers (cumulatief)</c:v>
                </c:pt>
              </c:strCache>
              <c:extLst xmlns:c15="http://schemas.microsoft.com/office/drawing/2012/chart"/>
            </c:strRef>
          </c:tx>
          <c:spPr>
            <a:solidFill>
              <a:schemeClr val="accent3"/>
            </a:solidFill>
            <a:ln w="25400">
              <a:noFill/>
            </a:ln>
            <a:effectLst/>
          </c:spPr>
          <c:cat>
            <c:numRef>
              <c:f>'ORT aansluitingen'!$U$18:$AD$18</c:f>
              <c:numCache>
                <c:formatCode>0</c:formatCode>
                <c:ptCount val="10"/>
                <c:pt idx="0">
                  <c:v>1900</c:v>
                </c:pt>
                <c:pt idx="1">
                  <c:v>1901</c:v>
                </c:pt>
                <c:pt idx="2">
                  <c:v>1902</c:v>
                </c:pt>
                <c:pt idx="3">
                  <c:v>1903</c:v>
                </c:pt>
                <c:pt idx="4">
                  <c:v>1904</c:v>
                </c:pt>
                <c:pt idx="5">
                  <c:v>1905</c:v>
                </c:pt>
                <c:pt idx="6">
                  <c:v>1906</c:v>
                </c:pt>
                <c:pt idx="7">
                  <c:v>1907</c:v>
                </c:pt>
                <c:pt idx="8">
                  <c:v>1908</c:v>
                </c:pt>
                <c:pt idx="9">
                  <c:v>1909</c:v>
                </c:pt>
              </c:numCache>
              <c:extLst xmlns:c15="http://schemas.microsoft.com/office/drawing/2012/chart"/>
            </c:numRef>
          </c:cat>
          <c:val>
            <c:numRef>
              <c:f>'ORT aansluitingen'!$U$63:$AD$63</c:f>
              <c:numCache>
                <c:formatCode>#.##0_);\(#.##0\);"-  ";" "@</c:formatCode>
                <c:ptCount val="10"/>
                <c:pt idx="0">
                  <c:v>0</c:v>
                </c:pt>
                <c:pt idx="1">
                  <c:v>0</c:v>
                </c:pt>
                <c:pt idx="2">
                  <c:v>0</c:v>
                </c:pt>
                <c:pt idx="3">
                  <c:v>0</c:v>
                </c:pt>
                <c:pt idx="4">
                  <c:v>0</c:v>
                </c:pt>
                <c:pt idx="5">
                  <c:v>0</c:v>
                </c:pt>
                <c:pt idx="6">
                  <c:v>0</c:v>
                </c:pt>
                <c:pt idx="7">
                  <c:v>0</c:v>
                </c:pt>
                <c:pt idx="8">
                  <c:v>0</c:v>
                </c:pt>
                <c:pt idx="9">
                  <c:v>0</c:v>
                </c:pt>
              </c:numCache>
              <c:extLst xmlns:c15="http://schemas.microsoft.com/office/drawing/2012/chart"/>
            </c:numRef>
          </c:val>
          <c:extLst xmlns:c15="http://schemas.microsoft.com/office/drawing/2012/chart">
            <c:ext xmlns:c16="http://schemas.microsoft.com/office/drawing/2014/chart" uri="{C3380CC4-5D6E-409C-BE32-E72D297353CC}">
              <c16:uniqueId val="{00000003-3304-43CE-8506-6630552E95F7}"/>
            </c:ext>
          </c:extLst>
        </c:ser>
        <c:dLbls>
          <c:showLegendKey val="0"/>
          <c:showVal val="0"/>
          <c:showCatName val="0"/>
          <c:showSerName val="0"/>
          <c:showPercent val="0"/>
          <c:showBubbleSize val="0"/>
        </c:dLbls>
        <c:axId val="967634664"/>
        <c:axId val="967634992"/>
        <c:extLst/>
      </c:areaChart>
      <c:catAx>
        <c:axId val="9676346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67634992"/>
        <c:crosses val="autoZero"/>
        <c:auto val="1"/>
        <c:lblAlgn val="ctr"/>
        <c:lblOffset val="100"/>
        <c:noMultiLvlLbl val="0"/>
      </c:catAx>
      <c:valAx>
        <c:axId val="967634992"/>
        <c:scaling>
          <c:orientation val="minMax"/>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NL"/>
                  <a:t>Aantal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NL"/>
            </a:p>
          </c:txPr>
        </c:title>
        <c:numFmt formatCode="#.##0_);\(#.##0\);&quot;-  &quot;;&quot; &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6763466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649781277340334"/>
          <c:y val="0.11355311355311355"/>
          <c:w val="0.80294663167104108"/>
          <c:h val="0.77796616832587551"/>
        </c:manualLayout>
      </c:layout>
      <c:barChart>
        <c:barDir val="col"/>
        <c:grouping val="stacked"/>
        <c:varyColors val="0"/>
        <c:ser>
          <c:idx val="0"/>
          <c:order val="0"/>
          <c:tx>
            <c:strRef>
              <c:f>'Mijlpaal Berekening'!$B$68</c:f>
              <c:strCache>
                <c:ptCount val="1"/>
                <c:pt idx="0">
                  <c:v>1</c:v>
                </c:pt>
              </c:strCache>
            </c:strRef>
          </c:tx>
          <c:spPr>
            <a:solidFill>
              <a:schemeClr val="accent1"/>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Berekening'!$C$68:$J$68</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0E-46A7-8680-38E438DE72B2}"/>
            </c:ext>
          </c:extLst>
        </c:ser>
        <c:ser>
          <c:idx val="1"/>
          <c:order val="1"/>
          <c:tx>
            <c:strRef>
              <c:f>'Mijlpaal Berekening'!$B$69</c:f>
              <c:strCache>
                <c:ptCount val="1"/>
                <c:pt idx="0">
                  <c:v>2</c:v>
                </c:pt>
              </c:strCache>
            </c:strRef>
          </c:tx>
          <c:spPr>
            <a:solidFill>
              <a:schemeClr val="accent2"/>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Berekening'!$C$69:$J$69</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40E-46A7-8680-38E438DE72B2}"/>
            </c:ext>
          </c:extLst>
        </c:ser>
        <c:ser>
          <c:idx val="2"/>
          <c:order val="2"/>
          <c:tx>
            <c:strRef>
              <c:f>'Mijlpaal Berekening'!$B$70</c:f>
              <c:strCache>
                <c:ptCount val="1"/>
                <c:pt idx="0">
                  <c:v>3</c:v>
                </c:pt>
              </c:strCache>
            </c:strRef>
          </c:tx>
          <c:spPr>
            <a:solidFill>
              <a:schemeClr val="accent3"/>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Berekening'!$C$70:$J$70</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40E-46A7-8680-38E438DE72B2}"/>
            </c:ext>
          </c:extLst>
        </c:ser>
        <c:ser>
          <c:idx val="3"/>
          <c:order val="3"/>
          <c:tx>
            <c:strRef>
              <c:f>'Mijlpaal Berekening'!$B$71</c:f>
              <c:strCache>
                <c:ptCount val="1"/>
                <c:pt idx="0">
                  <c:v>4</c:v>
                </c:pt>
              </c:strCache>
            </c:strRef>
          </c:tx>
          <c:spPr>
            <a:solidFill>
              <a:schemeClr val="accent4"/>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Berekening'!$C$71:$J$71</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F40E-46A7-8680-38E438DE72B2}"/>
            </c:ext>
          </c:extLst>
        </c:ser>
        <c:ser>
          <c:idx val="4"/>
          <c:order val="4"/>
          <c:tx>
            <c:strRef>
              <c:f>'Mijlpaal Berekening'!$B$72</c:f>
              <c:strCache>
                <c:ptCount val="1"/>
                <c:pt idx="0">
                  <c:v>5</c:v>
                </c:pt>
              </c:strCache>
            </c:strRef>
          </c:tx>
          <c:spPr>
            <a:solidFill>
              <a:schemeClr val="accent5"/>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Berekening'!$C$72:$J$72</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F40E-46A7-8680-38E438DE72B2}"/>
            </c:ext>
          </c:extLst>
        </c:ser>
        <c:ser>
          <c:idx val="5"/>
          <c:order val="5"/>
          <c:tx>
            <c:strRef>
              <c:f>'Mijlpaal Berekening'!$B$73</c:f>
              <c:strCache>
                <c:ptCount val="1"/>
                <c:pt idx="0">
                  <c:v>6</c:v>
                </c:pt>
              </c:strCache>
            </c:strRef>
          </c:tx>
          <c:spPr>
            <a:solidFill>
              <a:schemeClr val="accent6"/>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Berekening'!$C$73:$J$73</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F40E-46A7-8680-38E438DE72B2}"/>
            </c:ext>
          </c:extLst>
        </c:ser>
        <c:ser>
          <c:idx val="6"/>
          <c:order val="6"/>
          <c:tx>
            <c:strRef>
              <c:f>'Mijlpaal Berekening'!$B$74</c:f>
              <c:strCache>
                <c:ptCount val="1"/>
                <c:pt idx="0">
                  <c:v>7</c:v>
                </c:pt>
              </c:strCache>
            </c:strRef>
          </c:tx>
          <c:spPr>
            <a:solidFill>
              <a:schemeClr val="accent1">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Berekening'!$C$74:$J$74</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F40E-46A7-8680-38E438DE72B2}"/>
            </c:ext>
          </c:extLst>
        </c:ser>
        <c:ser>
          <c:idx val="7"/>
          <c:order val="7"/>
          <c:tx>
            <c:strRef>
              <c:f>'Mijlpaal Berekening'!$B$75</c:f>
              <c:strCache>
                <c:ptCount val="1"/>
                <c:pt idx="0">
                  <c:v>8</c:v>
                </c:pt>
              </c:strCache>
            </c:strRef>
          </c:tx>
          <c:spPr>
            <a:solidFill>
              <a:schemeClr val="accent2">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Berekening'!$C$75:$J$75</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F40E-46A7-8680-38E438DE72B2}"/>
            </c:ext>
          </c:extLst>
        </c:ser>
        <c:ser>
          <c:idx val="8"/>
          <c:order val="8"/>
          <c:tx>
            <c:strRef>
              <c:f>'Mijlpaal Berekening'!$B$76</c:f>
              <c:strCache>
                <c:ptCount val="1"/>
                <c:pt idx="0">
                  <c:v>9</c:v>
                </c:pt>
              </c:strCache>
            </c:strRef>
          </c:tx>
          <c:spPr>
            <a:solidFill>
              <a:schemeClr val="accent3">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Berekening'!$C$76:$J$76</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F40E-46A7-8680-38E438DE72B2}"/>
            </c:ext>
          </c:extLst>
        </c:ser>
        <c:ser>
          <c:idx val="9"/>
          <c:order val="9"/>
          <c:tx>
            <c:strRef>
              <c:f>'Mijlpaal Berekening'!$B$77</c:f>
              <c:strCache>
                <c:ptCount val="1"/>
                <c:pt idx="0">
                  <c:v>10</c:v>
                </c:pt>
              </c:strCache>
            </c:strRef>
          </c:tx>
          <c:spPr>
            <a:solidFill>
              <a:schemeClr val="accent4">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Berekening'!$C$77:$J$77</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F40E-46A7-8680-38E438DE72B2}"/>
            </c:ext>
          </c:extLst>
        </c:ser>
        <c:ser>
          <c:idx val="10"/>
          <c:order val="10"/>
          <c:tx>
            <c:strRef>
              <c:f>'Mijlpaal Berekening'!$B$78</c:f>
              <c:strCache>
                <c:ptCount val="1"/>
                <c:pt idx="0">
                  <c:v>11</c:v>
                </c:pt>
              </c:strCache>
            </c:strRef>
          </c:tx>
          <c:spPr>
            <a:solidFill>
              <a:schemeClr val="accent5">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Berekening'!$C$78:$J$78</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F40E-46A7-8680-38E438DE72B2}"/>
            </c:ext>
          </c:extLst>
        </c:ser>
        <c:ser>
          <c:idx val="11"/>
          <c:order val="11"/>
          <c:tx>
            <c:strRef>
              <c:f>'Mijlpaal Berekening'!$B$79</c:f>
              <c:strCache>
                <c:ptCount val="1"/>
                <c:pt idx="0">
                  <c:v>12</c:v>
                </c:pt>
              </c:strCache>
            </c:strRef>
          </c:tx>
          <c:spPr>
            <a:solidFill>
              <a:schemeClr val="accent6">
                <a:lumMod val="6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Berekening'!$C$79:$J$79</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B-F40E-46A7-8680-38E438DE72B2}"/>
            </c:ext>
          </c:extLst>
        </c:ser>
        <c:ser>
          <c:idx val="12"/>
          <c:order val="12"/>
          <c:tx>
            <c:strRef>
              <c:f>'Mijlpaal Berekening'!$B$80</c:f>
              <c:strCache>
                <c:ptCount val="1"/>
                <c:pt idx="0">
                  <c:v>13</c:v>
                </c:pt>
              </c:strCache>
            </c:strRef>
          </c:tx>
          <c:spPr>
            <a:solidFill>
              <a:schemeClr val="accent1">
                <a:lumMod val="80000"/>
                <a:lumOff val="2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Berekening'!$C$80:$J$80</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F40E-46A7-8680-38E438DE72B2}"/>
            </c:ext>
          </c:extLst>
        </c:ser>
        <c:ser>
          <c:idx val="13"/>
          <c:order val="13"/>
          <c:tx>
            <c:strRef>
              <c:f>'Mijlpaal Berekening'!$B$81</c:f>
              <c:strCache>
                <c:ptCount val="1"/>
                <c:pt idx="0">
                  <c:v>14</c:v>
                </c:pt>
              </c:strCache>
            </c:strRef>
          </c:tx>
          <c:spPr>
            <a:solidFill>
              <a:schemeClr val="accent2">
                <a:lumMod val="80000"/>
                <a:lumOff val="2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Berekening'!$C$81:$J$81</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D-F40E-46A7-8680-38E438DE72B2}"/>
            </c:ext>
          </c:extLst>
        </c:ser>
        <c:ser>
          <c:idx val="14"/>
          <c:order val="14"/>
          <c:tx>
            <c:strRef>
              <c:f>'Mijlpaal Berekening'!$B$82</c:f>
              <c:strCache>
                <c:ptCount val="1"/>
                <c:pt idx="0">
                  <c:v>15</c:v>
                </c:pt>
              </c:strCache>
            </c:strRef>
          </c:tx>
          <c:spPr>
            <a:solidFill>
              <a:schemeClr val="accent3">
                <a:lumMod val="80000"/>
                <a:lumOff val="20000"/>
              </a:schemeClr>
            </a:solidFill>
            <a:ln>
              <a:noFill/>
            </a:ln>
            <a:effectLst/>
          </c:spPr>
          <c:invertIfNegative val="0"/>
          <c:cat>
            <c:numRef>
              <c:f>'Mijlpaal Berekening'!$C$67:$J$67</c:f>
              <c:numCache>
                <c:formatCode>General</c:formatCode>
                <c:ptCount val="8"/>
                <c:pt idx="0" formatCode="0">
                  <c:v>1900</c:v>
                </c:pt>
                <c:pt idx="1">
                  <c:v>1901</c:v>
                </c:pt>
                <c:pt idx="2">
                  <c:v>1902</c:v>
                </c:pt>
                <c:pt idx="3">
                  <c:v>1903</c:v>
                </c:pt>
                <c:pt idx="4">
                  <c:v>1904</c:v>
                </c:pt>
                <c:pt idx="5">
                  <c:v>1905</c:v>
                </c:pt>
                <c:pt idx="6">
                  <c:v>1906</c:v>
                </c:pt>
                <c:pt idx="7">
                  <c:v>1907</c:v>
                </c:pt>
              </c:numCache>
            </c:numRef>
          </c:cat>
          <c:val>
            <c:numRef>
              <c:f>'Mijlpaal Berekening'!$C$82:$J$82</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F40E-46A7-8680-38E438DE72B2}"/>
            </c:ext>
          </c:extLst>
        </c:ser>
        <c:dLbls>
          <c:showLegendKey val="0"/>
          <c:showVal val="0"/>
          <c:showCatName val="0"/>
          <c:showSerName val="0"/>
          <c:showPercent val="0"/>
          <c:showBubbleSize val="0"/>
        </c:dLbls>
        <c:gapWidth val="150"/>
        <c:overlap val="100"/>
        <c:axId val="951838728"/>
        <c:axId val="951841248"/>
      </c:barChart>
      <c:catAx>
        <c:axId val="95183872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51841248"/>
        <c:crosses val="autoZero"/>
        <c:auto val="1"/>
        <c:lblAlgn val="ctr"/>
        <c:lblOffset val="100"/>
        <c:noMultiLvlLbl val="0"/>
      </c:catAx>
      <c:valAx>
        <c:axId val="951841248"/>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9518387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44</xdr:row>
      <xdr:rowOff>85725</xdr:rowOff>
    </xdr:from>
    <xdr:to>
      <xdr:col>3</xdr:col>
      <xdr:colOff>266700</xdr:colOff>
      <xdr:row>47</xdr:row>
      <xdr:rowOff>135729</xdr:rowOff>
    </xdr:to>
    <xdr:pic>
      <xdr:nvPicPr>
        <xdr:cNvPr id="4" name="Afbeelding 3" descr="Uitleg berekening">
          <a:extLst>
            <a:ext uri="{FF2B5EF4-FFF2-40B4-BE49-F238E27FC236}">
              <a16:creationId xmlns:a16="http://schemas.microsoft.com/office/drawing/2014/main" id="{4FE6BC8E-6F69-6B63-936E-64721C99C686}"/>
            </a:ext>
          </a:extLst>
        </xdr:cNvPr>
        <xdr:cNvPicPr>
          <a:picLocks noChangeAspect="1"/>
        </xdr:cNvPicPr>
      </xdr:nvPicPr>
      <xdr:blipFill>
        <a:blip xmlns:r="http://schemas.openxmlformats.org/officeDocument/2006/relationships" r:embed="rId1"/>
        <a:stretch>
          <a:fillRect/>
        </a:stretch>
      </xdr:blipFill>
      <xdr:spPr>
        <a:xfrm>
          <a:off x="304800" y="5267325"/>
          <a:ext cx="1685925" cy="478631"/>
        </a:xfrm>
        <a:prstGeom prst="rect">
          <a:avLst/>
        </a:prstGeom>
      </xdr:spPr>
    </xdr:pic>
    <xdr:clientData/>
  </xdr:twoCellAnchor>
  <xdr:twoCellAnchor editAs="oneCell">
    <xdr:from>
      <xdr:col>8</xdr:col>
      <xdr:colOff>0</xdr:colOff>
      <xdr:row>0</xdr:row>
      <xdr:rowOff>0</xdr:rowOff>
    </xdr:from>
    <xdr:to>
      <xdr:col>8</xdr:col>
      <xdr:colOff>466725</xdr:colOff>
      <xdr:row>0</xdr:row>
      <xdr:rowOff>1333500</xdr:rowOff>
    </xdr:to>
    <xdr:pic>
      <xdr:nvPicPr>
        <xdr:cNvPr id="2" name="Afbeelding 1">
          <a:extLst>
            <a:ext uri="{FF2B5EF4-FFF2-40B4-BE49-F238E27FC236}">
              <a16:creationId xmlns:a16="http://schemas.microsoft.com/office/drawing/2014/main" id="{17036FF6-6DB4-753A-F383-6EECFDA485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6000" y="0"/>
          <a:ext cx="466725" cy="1333500"/>
        </a:xfrm>
        <a:prstGeom prst="rect">
          <a:avLst/>
        </a:prstGeom>
        <a:noFill/>
        <a:ln w="9525">
          <a:noFill/>
          <a:miter lim="800000"/>
          <a:headEnd/>
          <a:tailEnd/>
        </a:ln>
      </xdr:spPr>
    </xdr:pic>
    <xdr:clientData/>
  </xdr:twoCellAnchor>
  <xdr:twoCellAnchor editAs="oneCell">
    <xdr:from>
      <xdr:col>8</xdr:col>
      <xdr:colOff>468313</xdr:colOff>
      <xdr:row>0</xdr:row>
      <xdr:rowOff>0</xdr:rowOff>
    </xdr:from>
    <xdr:to>
      <xdr:col>12</xdr:col>
      <xdr:colOff>343218</xdr:colOff>
      <xdr:row>2</xdr:row>
      <xdr:rowOff>66675</xdr:rowOff>
    </xdr:to>
    <xdr:pic>
      <xdr:nvPicPr>
        <xdr:cNvPr id="3" name="Afbeelding 2">
          <a:extLst>
            <a:ext uri="{FF2B5EF4-FFF2-40B4-BE49-F238E27FC236}">
              <a16:creationId xmlns:a16="http://schemas.microsoft.com/office/drawing/2014/main" id="{F4155EA8-DD37-B23C-5003-E6C9EF1D018A}"/>
            </a:ext>
            <a:ext uri="{C183D7F6-B498-43B3-948B-1728B52AA6E4}">
              <adec:decorative xmlns:adec="http://schemas.microsoft.com/office/drawing/2017/decorative" val="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94313"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1</xdr:row>
      <xdr:rowOff>57150</xdr:rowOff>
    </xdr:to>
    <xdr:pic>
      <xdr:nvPicPr>
        <xdr:cNvPr id="2" name="Afbeelding 1">
          <a:extLst>
            <a:ext uri="{FF2B5EF4-FFF2-40B4-BE49-F238E27FC236}">
              <a16:creationId xmlns:a16="http://schemas.microsoft.com/office/drawing/2014/main" id="{0D671D6D-4B85-4686-A2E3-A1B7B57A14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0"/>
          <a:ext cx="466725" cy="1333500"/>
        </a:xfrm>
        <a:prstGeom prst="rect">
          <a:avLst/>
        </a:prstGeom>
        <a:noFill/>
        <a:ln w="9525">
          <a:noFill/>
          <a:miter lim="800000"/>
          <a:headEnd/>
          <a:tailEnd/>
        </a:ln>
      </xdr:spPr>
    </xdr:pic>
    <xdr:clientData/>
  </xdr:twoCellAnchor>
  <xdr:twoCellAnchor editAs="oneCell">
    <xdr:from>
      <xdr:col>8</xdr:col>
      <xdr:colOff>457200</xdr:colOff>
      <xdr:row>0</xdr:row>
      <xdr:rowOff>0</xdr:rowOff>
    </xdr:from>
    <xdr:to>
      <xdr:col>12</xdr:col>
      <xdr:colOff>332105</xdr:colOff>
      <xdr:row>2</xdr:row>
      <xdr:rowOff>66675</xdr:rowOff>
    </xdr:to>
    <xdr:pic>
      <xdr:nvPicPr>
        <xdr:cNvPr id="3" name="Afbeelding 2">
          <a:extLst>
            <a:ext uri="{FF2B5EF4-FFF2-40B4-BE49-F238E27FC236}">
              <a16:creationId xmlns:a16="http://schemas.microsoft.com/office/drawing/2014/main" id="{1FE58D5C-B6C2-40BD-BDE8-201D4660C05C}"/>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2575" y="0"/>
          <a:ext cx="2351405" cy="1571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68355</xdr:colOff>
      <xdr:row>2</xdr:row>
      <xdr:rowOff>166408</xdr:rowOff>
    </xdr:from>
    <xdr:to>
      <xdr:col>7</xdr:col>
      <xdr:colOff>664029</xdr:colOff>
      <xdr:row>25</xdr:row>
      <xdr:rowOff>92529</xdr:rowOff>
    </xdr:to>
    <xdr:graphicFrame macro="">
      <xdr:nvGraphicFramePr>
        <xdr:cNvPr id="2" name="Chart 7" descr="Grafiek">
          <a:extLst>
            <a:ext uri="{FF2B5EF4-FFF2-40B4-BE49-F238E27FC236}">
              <a16:creationId xmlns:a16="http://schemas.microsoft.com/office/drawing/2014/main" id="{2CC792FE-F0D6-43D1-A0F0-8FE994484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949778</xdr:colOff>
      <xdr:row>3</xdr:row>
      <xdr:rowOff>2348</xdr:rowOff>
    </xdr:from>
    <xdr:to>
      <xdr:col>14</xdr:col>
      <xdr:colOff>1000125</xdr:colOff>
      <xdr:row>25</xdr:row>
      <xdr:rowOff>97972</xdr:rowOff>
    </xdr:to>
    <xdr:graphicFrame macro="">
      <xdr:nvGraphicFramePr>
        <xdr:cNvPr id="3" name="Grafiek 2" descr="Grafiek">
          <a:extLst>
            <a:ext uri="{FF2B5EF4-FFF2-40B4-BE49-F238E27FC236}">
              <a16:creationId xmlns:a16="http://schemas.microsoft.com/office/drawing/2014/main" id="{AC22DCFE-13D3-445E-BD1D-B98EB4DAC9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957261</xdr:colOff>
      <xdr:row>54</xdr:row>
      <xdr:rowOff>85725</xdr:rowOff>
    </xdr:from>
    <xdr:to>
      <xdr:col>20</xdr:col>
      <xdr:colOff>295274</xdr:colOff>
      <xdr:row>81</xdr:row>
      <xdr:rowOff>38100</xdr:rowOff>
    </xdr:to>
    <xdr:graphicFrame macro="">
      <xdr:nvGraphicFramePr>
        <xdr:cNvPr id="5" name="Grafiek 4">
          <a:extLst>
            <a:ext uri="{FF2B5EF4-FFF2-40B4-BE49-F238E27FC236}">
              <a16:creationId xmlns:a16="http://schemas.microsoft.com/office/drawing/2014/main" id="{1454E9D4-9B50-64F0-DF25-33FABB1DD5B1}"/>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561976</xdr:colOff>
      <xdr:row>24</xdr:row>
      <xdr:rowOff>112938</xdr:rowOff>
    </xdr:from>
    <xdr:to>
      <xdr:col>12</xdr:col>
      <xdr:colOff>557440</xdr:colOff>
      <xdr:row>35</xdr:row>
      <xdr:rowOff>132514</xdr:rowOff>
    </xdr:to>
    <xdr:pic>
      <xdr:nvPicPr>
        <xdr:cNvPr id="369755" name="Afbeelding 2">
          <a:extLst>
            <a:ext uri="{FF2B5EF4-FFF2-40B4-BE49-F238E27FC236}">
              <a16:creationId xmlns:a16="http://schemas.microsoft.com/office/drawing/2014/main" id="{DDB859E6-07DB-DDF8-8F2D-3861A44C97C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9447" y="3901167"/>
          <a:ext cx="3233964" cy="175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rvo.nl/wis" TargetMode="External"/><Relationship Id="rId7" Type="http://schemas.openxmlformats.org/officeDocument/2006/relationships/printerSettings" Target="../printerSettings/printerSettings1.bin"/><Relationship Id="rId2" Type="http://schemas.openxmlformats.org/officeDocument/2006/relationships/hyperlink" Target="https://www.rvo.nl/onderwerpen/subsidiespelregels/ezk/financiering" TargetMode="External"/><Relationship Id="rId1" Type="http://schemas.openxmlformats.org/officeDocument/2006/relationships/hyperlink" Target="https://wetten.overheid.nl/BWBR0024796/2021-03-09" TargetMode="External"/><Relationship Id="rId6" Type="http://schemas.openxmlformats.org/officeDocument/2006/relationships/hyperlink" Target="https://zoek.officielebekendmakingen.nl/stcrt-2023-11052.pdf" TargetMode="External"/><Relationship Id="rId5" Type="http://schemas.openxmlformats.org/officeDocument/2006/relationships/hyperlink" Target="https://eur-lex.europa.eu/legal-content/NL/TXT/PDF/?uri=CELEX:02014R0651-20230701" TargetMode="External"/><Relationship Id="rId4" Type="http://schemas.openxmlformats.org/officeDocument/2006/relationships/hyperlink" Target="https://wetten.overheid.nl/jci1.3:c:BWBR0007919&amp;z=2019-01-01&amp;g=2019-01-01"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onderwerpen/subsidiespelregels/ez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8">
    <tabColor rgb="FF00B0F0"/>
    <pageSetUpPr fitToPage="1"/>
  </sheetPr>
  <dimension ref="A1:AK130"/>
  <sheetViews>
    <sheetView showGridLines="0" tabSelected="1" zoomScaleNormal="100" zoomScaleSheetLayoutView="100" workbookViewId="0">
      <selection activeCell="R155" sqref="R155"/>
    </sheetView>
  </sheetViews>
  <sheetFormatPr defaultColWidth="9.26953125" defaultRowHeight="11.5" x14ac:dyDescent="0.25"/>
  <cols>
    <col min="1" max="1" width="7.453125" style="52" customWidth="1"/>
    <col min="2" max="2" width="9.26953125" style="52" customWidth="1"/>
    <col min="3" max="5" width="9.26953125" style="52"/>
    <col min="6" max="6" width="9.26953125" style="52" customWidth="1"/>
    <col min="7" max="15" width="9.26953125" style="52"/>
    <col min="16" max="16" width="10.7265625" style="52" customWidth="1"/>
    <col min="17" max="20" width="9.26953125" style="52"/>
    <col min="21" max="37" width="9.26953125" style="53"/>
    <col min="38" max="16384" width="9.26953125" style="52"/>
  </cols>
  <sheetData>
    <row r="1" spans="1:37" ht="108.75" customHeight="1" x14ac:dyDescent="0.25">
      <c r="A1" s="16"/>
      <c r="B1" s="16"/>
      <c r="C1" s="40"/>
      <c r="D1" s="16"/>
      <c r="E1" s="16"/>
      <c r="F1" s="16"/>
      <c r="G1" s="16"/>
      <c r="H1" s="16"/>
      <c r="I1" s="16"/>
      <c r="J1" s="16"/>
      <c r="K1" s="16"/>
      <c r="L1" s="16"/>
      <c r="M1" s="16"/>
      <c r="N1" s="16"/>
      <c r="O1" s="16"/>
      <c r="P1" s="16"/>
    </row>
    <row r="2" spans="1:37" x14ac:dyDescent="0.25">
      <c r="A2" s="40" t="s">
        <v>0</v>
      </c>
      <c r="B2" s="16"/>
      <c r="C2" s="40"/>
      <c r="D2" s="16"/>
      <c r="E2" s="16"/>
      <c r="F2" s="16"/>
      <c r="G2" s="16"/>
      <c r="H2" s="16"/>
      <c r="I2" s="40"/>
      <c r="J2" s="40"/>
      <c r="K2" s="16"/>
      <c r="L2" s="16"/>
      <c r="M2" s="16"/>
      <c r="N2" s="16"/>
      <c r="O2" s="16"/>
      <c r="P2" s="16"/>
    </row>
    <row r="3" spans="1:37" ht="17.5" x14ac:dyDescent="0.25">
      <c r="A3" s="138" t="s">
        <v>1</v>
      </c>
      <c r="B3" s="76"/>
      <c r="C3" s="76"/>
      <c r="D3" s="16"/>
      <c r="E3" s="16"/>
      <c r="F3" s="16"/>
      <c r="G3" s="16"/>
      <c r="H3" s="16"/>
      <c r="I3" s="40"/>
      <c r="J3" s="40"/>
      <c r="K3" s="16"/>
      <c r="L3" s="16"/>
      <c r="M3" s="16"/>
      <c r="N3" s="16"/>
      <c r="O3" s="16"/>
      <c r="P3" s="16"/>
    </row>
    <row r="4" spans="1:37" ht="18.5" x14ac:dyDescent="0.25">
      <c r="A4" s="154" t="s">
        <v>2</v>
      </c>
      <c r="B4" s="132"/>
      <c r="C4" s="132"/>
      <c r="F4" s="16"/>
      <c r="G4" s="16"/>
      <c r="H4" s="16"/>
      <c r="I4" s="40"/>
      <c r="J4" s="40"/>
      <c r="K4" s="16"/>
      <c r="L4" s="16"/>
      <c r="M4" s="16"/>
      <c r="N4" s="16"/>
      <c r="O4" s="16"/>
      <c r="P4" s="16"/>
    </row>
    <row r="5" spans="1:37" s="12" customFormat="1" ht="10.5" customHeight="1" x14ac:dyDescent="0.25">
      <c r="A5" s="267" t="s">
        <v>3</v>
      </c>
      <c r="B5" s="267"/>
      <c r="C5" s="267"/>
      <c r="D5" s="267"/>
      <c r="E5" s="267"/>
      <c r="F5" s="267"/>
      <c r="G5" s="267"/>
      <c r="H5" s="267"/>
      <c r="I5" s="1085"/>
      <c r="J5" s="1085"/>
      <c r="K5" s="1085"/>
      <c r="L5" s="1085"/>
      <c r="M5" s="1085"/>
      <c r="N5" s="1085"/>
      <c r="O5" s="1085"/>
      <c r="P5" s="1085"/>
    </row>
    <row r="6" spans="1:37" x14ac:dyDescent="0.25">
      <c r="A6" s="1137" t="s">
        <v>4</v>
      </c>
      <c r="B6" s="16"/>
      <c r="C6" s="16"/>
      <c r="D6" s="16"/>
      <c r="E6" s="16"/>
      <c r="F6" s="16"/>
      <c r="G6" s="16"/>
      <c r="H6" s="16"/>
      <c r="I6" s="16"/>
      <c r="J6" s="16"/>
      <c r="K6" s="16"/>
      <c r="L6" s="16"/>
      <c r="M6" s="16"/>
      <c r="N6" s="16"/>
      <c r="O6" s="16"/>
      <c r="P6" s="16"/>
    </row>
    <row r="7" spans="1:37" x14ac:dyDescent="0.25">
      <c r="A7" s="1128" t="s">
        <v>5</v>
      </c>
      <c r="B7" s="16"/>
      <c r="C7" s="16"/>
      <c r="D7" s="16"/>
      <c r="E7" s="16"/>
      <c r="F7" s="16"/>
      <c r="G7" s="16"/>
      <c r="H7" s="16"/>
      <c r="I7" s="16"/>
      <c r="J7" s="16"/>
      <c r="K7" s="16"/>
      <c r="L7" s="16"/>
      <c r="M7" s="16"/>
      <c r="N7" s="16"/>
      <c r="O7" s="16"/>
      <c r="P7" s="16"/>
    </row>
    <row r="8" spans="1:37" x14ac:dyDescent="0.25">
      <c r="A8" s="16"/>
      <c r="B8" s="16"/>
      <c r="C8" s="16"/>
      <c r="D8" s="16"/>
      <c r="E8" s="16"/>
      <c r="F8" s="16"/>
      <c r="G8" s="16"/>
      <c r="H8" s="16"/>
      <c r="I8" s="16"/>
      <c r="J8" s="16"/>
      <c r="K8" s="16"/>
      <c r="L8" s="16"/>
      <c r="M8" s="16"/>
      <c r="N8" s="16"/>
      <c r="O8" s="16"/>
      <c r="P8" s="16"/>
    </row>
    <row r="9" spans="1:37" s="80" customFormat="1" ht="13.5" x14ac:dyDescent="0.25">
      <c r="A9" s="77" t="s">
        <v>6</v>
      </c>
      <c r="B9" s="78"/>
      <c r="C9" s="79"/>
      <c r="D9" s="79"/>
      <c r="E9" s="78"/>
      <c r="F9" s="78"/>
      <c r="G9" s="78"/>
      <c r="H9" s="78"/>
      <c r="I9" s="78"/>
      <c r="J9" s="78"/>
      <c r="K9" s="78"/>
      <c r="L9" s="78"/>
      <c r="M9" s="78"/>
      <c r="N9" s="78"/>
      <c r="O9" s="78"/>
      <c r="P9" s="78"/>
      <c r="U9" s="81"/>
      <c r="V9" s="81"/>
      <c r="W9" s="81"/>
      <c r="X9" s="81"/>
      <c r="Y9" s="81"/>
      <c r="Z9" s="81"/>
      <c r="AA9" s="81"/>
      <c r="AB9" s="81"/>
      <c r="AC9" s="81"/>
      <c r="AD9" s="81"/>
      <c r="AE9" s="81"/>
      <c r="AF9" s="81"/>
      <c r="AG9" s="81"/>
      <c r="AH9" s="81"/>
      <c r="AI9" s="81"/>
      <c r="AJ9" s="81"/>
      <c r="AK9" s="81"/>
    </row>
    <row r="10" spans="1:37" s="55" customFormat="1" ht="11.9" customHeight="1" x14ac:dyDescent="0.25">
      <c r="A10" s="141" t="s">
        <v>7</v>
      </c>
      <c r="B10" s="58"/>
      <c r="C10" s="58"/>
      <c r="D10" s="58"/>
      <c r="E10" s="58"/>
      <c r="F10" s="58"/>
      <c r="G10" s="58"/>
      <c r="H10" s="58"/>
      <c r="I10" s="58"/>
      <c r="J10" s="58"/>
      <c r="K10" s="58"/>
      <c r="L10" s="58"/>
      <c r="M10" s="58"/>
      <c r="N10" s="58"/>
      <c r="O10" s="58"/>
      <c r="P10" s="58"/>
    </row>
    <row r="11" spans="1:37" s="55" customFormat="1" ht="11.9" customHeight="1" x14ac:dyDescent="0.25">
      <c r="A11" s="55" t="s">
        <v>8</v>
      </c>
    </row>
    <row r="12" spans="1:37" s="55" customFormat="1" ht="11.9" customHeight="1" x14ac:dyDescent="0.25">
      <c r="A12" s="55" t="s">
        <v>9</v>
      </c>
    </row>
    <row r="13" spans="1:37" s="55" customFormat="1" ht="11.9" customHeight="1" x14ac:dyDescent="0.25">
      <c r="A13" s="31"/>
    </row>
    <row r="14" spans="1:37" s="55" customFormat="1" ht="11.9" customHeight="1" x14ac:dyDescent="0.25">
      <c r="A14" s="54" t="s">
        <v>10</v>
      </c>
      <c r="B14" s="868"/>
      <c r="C14" s="868"/>
      <c r="D14" s="868"/>
      <c r="E14" s="868"/>
      <c r="F14" s="868"/>
      <c r="G14" s="868"/>
      <c r="H14" s="868"/>
      <c r="I14" s="868"/>
      <c r="J14" s="868"/>
      <c r="K14" s="868"/>
      <c r="L14" s="868"/>
      <c r="M14" s="868"/>
      <c r="N14" s="868"/>
      <c r="O14" s="868"/>
      <c r="P14" s="868"/>
    </row>
    <row r="15" spans="1:37" s="55" customFormat="1" ht="11.9" customHeight="1" x14ac:dyDescent="0.25">
      <c r="A15" s="54" t="s">
        <v>11</v>
      </c>
      <c r="B15" s="868"/>
      <c r="C15" s="868"/>
      <c r="D15" s="868"/>
      <c r="E15" s="868"/>
      <c r="F15" s="868"/>
      <c r="G15" s="868"/>
      <c r="H15" s="868"/>
      <c r="I15" s="868"/>
      <c r="J15" s="868"/>
      <c r="K15" s="868"/>
      <c r="L15" s="868"/>
      <c r="M15" s="868"/>
      <c r="N15" s="868"/>
      <c r="O15" s="868"/>
      <c r="P15" s="868"/>
    </row>
    <row r="16" spans="1:37" s="55" customFormat="1" ht="11.9" customHeight="1" x14ac:dyDescent="0.25">
      <c r="A16" s="900" t="s">
        <v>12</v>
      </c>
    </row>
    <row r="17" spans="1:37" s="55" customFormat="1" ht="11.9" customHeight="1" x14ac:dyDescent="0.25">
      <c r="A17" s="31" t="s">
        <v>13</v>
      </c>
    </row>
    <row r="18" spans="1:37" s="55" customFormat="1" ht="11.9" customHeight="1" x14ac:dyDescent="0.25">
      <c r="A18" s="31" t="s">
        <v>14</v>
      </c>
    </row>
    <row r="19" spans="1:37" s="55" customFormat="1" ht="11.9" customHeight="1" x14ac:dyDescent="0.25">
      <c r="A19" s="31" t="s">
        <v>15</v>
      </c>
    </row>
    <row r="20" spans="1:37" s="55" customFormat="1" ht="11.9" customHeight="1" x14ac:dyDescent="0.25">
      <c r="A20" s="31" t="s">
        <v>16</v>
      </c>
    </row>
    <row r="21" spans="1:37" s="55" customFormat="1" ht="11.9" customHeight="1" thickBot="1" x14ac:dyDescent="0.3">
      <c r="A21" s="54"/>
    </row>
    <row r="22" spans="1:37" s="80" customFormat="1" ht="14" thickBot="1" x14ac:dyDescent="0.3">
      <c r="A22" s="82" t="s">
        <v>17</v>
      </c>
      <c r="B22" s="83"/>
      <c r="C22" s="84"/>
      <c r="D22" s="84"/>
      <c r="E22" s="83"/>
      <c r="F22" s="83"/>
      <c r="G22" s="83"/>
      <c r="H22" s="83"/>
      <c r="I22" s="83"/>
      <c r="J22" s="83"/>
      <c r="K22" s="83"/>
      <c r="L22" s="83"/>
      <c r="M22" s="83"/>
      <c r="N22" s="83"/>
      <c r="O22" s="83"/>
      <c r="P22" s="85"/>
      <c r="U22" s="81"/>
      <c r="V22" s="81"/>
      <c r="W22" s="81"/>
      <c r="X22" s="81"/>
      <c r="Y22" s="81"/>
      <c r="Z22" s="81"/>
      <c r="AA22" s="81"/>
      <c r="AB22" s="81"/>
      <c r="AC22" s="81"/>
      <c r="AD22" s="81"/>
      <c r="AE22" s="81"/>
      <c r="AF22" s="81"/>
      <c r="AG22" s="81"/>
      <c r="AH22" s="81"/>
      <c r="AI22" s="81"/>
      <c r="AJ22" s="81"/>
      <c r="AK22" s="81"/>
    </row>
    <row r="23" spans="1:37" ht="11.9" customHeight="1" x14ac:dyDescent="0.25">
      <c r="A23" s="56" t="s">
        <v>18</v>
      </c>
      <c r="B23" s="16"/>
      <c r="C23" s="16"/>
      <c r="D23" s="40"/>
      <c r="E23" s="16"/>
      <c r="F23" s="16"/>
      <c r="G23" s="16"/>
      <c r="H23" s="16"/>
      <c r="I23" s="16"/>
      <c r="J23" s="16"/>
      <c r="K23" s="16"/>
      <c r="L23" s="16"/>
      <c r="M23" s="16"/>
      <c r="N23" s="16"/>
      <c r="O23" s="16"/>
      <c r="P23" s="16"/>
      <c r="U23" s="52"/>
      <c r="V23" s="52"/>
      <c r="W23" s="52"/>
      <c r="X23" s="52"/>
      <c r="Y23" s="52"/>
      <c r="Z23" s="52"/>
      <c r="AA23" s="52"/>
      <c r="AB23" s="52"/>
      <c r="AC23" s="52"/>
      <c r="AD23" s="52"/>
      <c r="AE23" s="52"/>
      <c r="AF23" s="52"/>
      <c r="AG23" s="52"/>
      <c r="AH23" s="52"/>
      <c r="AI23" s="52"/>
      <c r="AJ23" s="52"/>
      <c r="AK23" s="52"/>
    </row>
    <row r="24" spans="1:37" ht="11.9" customHeight="1" x14ac:dyDescent="0.25">
      <c r="A24" s="56"/>
      <c r="B24" s="16"/>
      <c r="C24" s="16"/>
      <c r="D24" s="40"/>
      <c r="E24" s="16"/>
      <c r="F24" s="16"/>
      <c r="G24" s="16"/>
      <c r="H24" s="16"/>
      <c r="I24" s="16"/>
      <c r="J24" s="16"/>
      <c r="K24" s="16"/>
      <c r="L24" s="16"/>
      <c r="M24" s="16"/>
      <c r="N24" s="16"/>
      <c r="O24" s="16"/>
      <c r="P24" s="16"/>
      <c r="U24" s="52"/>
      <c r="V24" s="52"/>
      <c r="W24" s="52"/>
      <c r="X24" s="52"/>
      <c r="Y24" s="52"/>
      <c r="Z24" s="52"/>
      <c r="AA24" s="52"/>
      <c r="AB24" s="52"/>
      <c r="AC24" s="52"/>
      <c r="AD24" s="52"/>
      <c r="AE24" s="52"/>
      <c r="AF24" s="52"/>
      <c r="AG24" s="52"/>
      <c r="AH24" s="52"/>
      <c r="AI24" s="52"/>
      <c r="AJ24" s="52"/>
      <c r="AK24" s="52"/>
    </row>
    <row r="25" spans="1:37" ht="11.9" customHeight="1" x14ac:dyDescent="0.25">
      <c r="A25" s="31" t="s">
        <v>19</v>
      </c>
      <c r="B25" s="16"/>
      <c r="C25" s="16"/>
      <c r="D25" s="40"/>
      <c r="E25" s="16"/>
      <c r="F25" s="16"/>
      <c r="G25" s="16"/>
      <c r="H25" s="16"/>
      <c r="I25" s="16"/>
      <c r="J25" s="16"/>
      <c r="K25" s="16"/>
      <c r="L25" s="16"/>
      <c r="M25" s="16"/>
      <c r="N25" s="16"/>
      <c r="O25" s="16"/>
      <c r="P25" s="16"/>
      <c r="U25" s="52"/>
      <c r="V25" s="52"/>
      <c r="W25" s="52"/>
      <c r="X25" s="52"/>
      <c r="Y25" s="52"/>
      <c r="Z25" s="52"/>
      <c r="AA25" s="52"/>
      <c r="AB25" s="52"/>
      <c r="AC25" s="52"/>
      <c r="AD25" s="52"/>
      <c r="AE25" s="52"/>
      <c r="AF25" s="52"/>
      <c r="AG25" s="52"/>
      <c r="AH25" s="52"/>
      <c r="AI25" s="52"/>
      <c r="AJ25" s="52"/>
      <c r="AK25" s="52"/>
    </row>
    <row r="26" spans="1:37" ht="11.9" customHeight="1" x14ac:dyDescent="0.25">
      <c r="A26" s="31" t="s">
        <v>20</v>
      </c>
      <c r="B26" s="16"/>
      <c r="C26" s="16"/>
      <c r="D26" s="40"/>
      <c r="E26" s="16"/>
      <c r="F26" s="16"/>
      <c r="G26" s="16"/>
      <c r="H26" s="16"/>
      <c r="I26" s="16"/>
      <c r="J26" s="16"/>
      <c r="K26" s="16"/>
      <c r="L26" s="16"/>
      <c r="M26" s="16"/>
      <c r="N26" s="16"/>
      <c r="O26" s="16"/>
      <c r="P26" s="16"/>
      <c r="U26" s="52"/>
      <c r="V26" s="52"/>
      <c r="W26" s="52"/>
      <c r="X26" s="52"/>
      <c r="Y26" s="52"/>
      <c r="Z26" s="52"/>
      <c r="AA26" s="52"/>
      <c r="AB26" s="52"/>
      <c r="AC26" s="52"/>
      <c r="AD26" s="52"/>
      <c r="AE26" s="52"/>
      <c r="AF26" s="52"/>
      <c r="AG26" s="52"/>
      <c r="AH26" s="52"/>
      <c r="AI26" s="52"/>
      <c r="AJ26" s="52"/>
      <c r="AK26" s="52"/>
    </row>
    <row r="27" spans="1:37" ht="11.9" customHeight="1" x14ac:dyDescent="0.25">
      <c r="A27" s="31" t="s">
        <v>21</v>
      </c>
      <c r="B27" s="16"/>
      <c r="C27" s="16"/>
      <c r="D27" s="40"/>
      <c r="E27" s="16"/>
      <c r="F27" s="16"/>
      <c r="G27" s="16"/>
      <c r="H27" s="16"/>
      <c r="I27" s="16"/>
      <c r="J27" s="16"/>
      <c r="K27" s="16"/>
      <c r="L27" s="16"/>
      <c r="M27" s="16"/>
      <c r="N27" s="16"/>
      <c r="O27" s="16"/>
      <c r="P27" s="16"/>
      <c r="U27" s="52"/>
      <c r="V27" s="52"/>
      <c r="W27" s="52"/>
      <c r="X27" s="52"/>
      <c r="Y27" s="52"/>
      <c r="Z27" s="52"/>
      <c r="AA27" s="52"/>
      <c r="AB27" s="52"/>
      <c r="AC27" s="52"/>
      <c r="AD27" s="52"/>
      <c r="AE27" s="52"/>
      <c r="AF27" s="52"/>
      <c r="AG27" s="52"/>
      <c r="AH27" s="52"/>
      <c r="AI27" s="52"/>
      <c r="AJ27" s="52"/>
      <c r="AK27" s="52"/>
    </row>
    <row r="28" spans="1:37" ht="11.9" customHeight="1" x14ac:dyDescent="0.25">
      <c r="A28" s="67" t="s">
        <v>22</v>
      </c>
      <c r="D28" s="132"/>
      <c r="O28" s="16"/>
      <c r="P28" s="16"/>
      <c r="U28" s="52"/>
      <c r="V28" s="52"/>
      <c r="W28" s="52"/>
      <c r="X28" s="52"/>
      <c r="Y28" s="52"/>
      <c r="Z28" s="52"/>
      <c r="AA28" s="52"/>
      <c r="AB28" s="52"/>
      <c r="AC28" s="52"/>
      <c r="AD28" s="52"/>
      <c r="AE28" s="52"/>
      <c r="AF28" s="52"/>
      <c r="AG28" s="52"/>
      <c r="AH28" s="52"/>
      <c r="AI28" s="52"/>
      <c r="AJ28" s="52"/>
      <c r="AK28" s="52"/>
    </row>
    <row r="29" spans="1:37" ht="11.9" customHeight="1" x14ac:dyDescent="0.25">
      <c r="A29" s="54" t="s">
        <v>23</v>
      </c>
      <c r="O29" s="16"/>
      <c r="P29" s="16"/>
      <c r="U29" s="52"/>
      <c r="V29" s="52"/>
      <c r="W29" s="52"/>
      <c r="X29" s="52"/>
      <c r="Y29" s="52"/>
      <c r="Z29" s="52"/>
      <c r="AA29" s="52"/>
      <c r="AB29" s="52"/>
      <c r="AC29" s="52"/>
      <c r="AD29" s="52"/>
      <c r="AE29" s="52"/>
      <c r="AF29" s="52"/>
      <c r="AG29" s="52"/>
      <c r="AH29" s="52"/>
      <c r="AI29" s="52"/>
      <c r="AJ29" s="52"/>
      <c r="AK29" s="52"/>
    </row>
    <row r="30" spans="1:37" ht="11.9" customHeight="1" x14ac:dyDescent="0.25">
      <c r="A30" s="31" t="s">
        <v>24</v>
      </c>
      <c r="D30" s="132"/>
      <c r="M30" s="16"/>
      <c r="N30" s="16"/>
      <c r="O30" s="16"/>
      <c r="P30" s="16"/>
      <c r="U30" s="52"/>
      <c r="V30" s="52"/>
      <c r="W30" s="52"/>
      <c r="X30" s="52"/>
      <c r="Y30" s="52"/>
      <c r="Z30" s="52"/>
      <c r="AA30" s="52"/>
      <c r="AB30" s="52"/>
      <c r="AC30" s="52"/>
      <c r="AD30" s="52"/>
      <c r="AE30" s="52"/>
      <c r="AF30" s="52"/>
      <c r="AG30" s="52"/>
      <c r="AH30" s="52"/>
      <c r="AI30" s="52"/>
      <c r="AJ30" s="52"/>
      <c r="AK30" s="52"/>
    </row>
    <row r="31" spans="1:37" ht="11.9" customHeight="1" x14ac:dyDescent="0.25">
      <c r="A31" s="31" t="s">
        <v>25</v>
      </c>
      <c r="D31" s="132"/>
      <c r="M31" s="16"/>
      <c r="N31" s="16"/>
      <c r="O31" s="16"/>
      <c r="P31" s="16"/>
      <c r="U31" s="52"/>
      <c r="V31" s="52"/>
      <c r="W31" s="52"/>
      <c r="X31" s="52"/>
      <c r="Y31" s="52"/>
      <c r="Z31" s="52"/>
      <c r="AA31" s="52"/>
      <c r="AB31" s="52"/>
      <c r="AC31" s="52"/>
      <c r="AD31" s="52"/>
      <c r="AE31" s="52"/>
      <c r="AF31" s="52"/>
      <c r="AG31" s="52"/>
      <c r="AH31" s="52"/>
      <c r="AI31" s="52"/>
      <c r="AJ31" s="52"/>
      <c r="AK31" s="52"/>
    </row>
    <row r="32" spans="1:37" ht="11.9" customHeight="1" x14ac:dyDescent="0.25">
      <c r="A32" s="67" t="s">
        <v>26</v>
      </c>
      <c r="B32" s="16"/>
      <c r="C32" s="16"/>
      <c r="D32" s="40"/>
      <c r="E32" s="16"/>
      <c r="F32" s="16"/>
      <c r="G32" s="16"/>
      <c r="H32" s="16"/>
      <c r="I32" s="16"/>
      <c r="J32" s="16"/>
      <c r="K32" s="16"/>
      <c r="L32" s="16"/>
      <c r="M32" s="16"/>
      <c r="N32" s="16"/>
      <c r="O32" s="16"/>
      <c r="P32" s="16"/>
      <c r="U32" s="52"/>
      <c r="V32" s="52"/>
      <c r="W32" s="52"/>
      <c r="X32" s="52"/>
      <c r="Y32" s="52"/>
      <c r="Z32" s="52"/>
      <c r="AA32" s="52"/>
      <c r="AB32" s="52"/>
      <c r="AC32" s="52"/>
      <c r="AD32" s="52"/>
      <c r="AE32" s="52"/>
      <c r="AF32" s="52"/>
      <c r="AG32" s="52"/>
      <c r="AH32" s="52"/>
      <c r="AI32" s="52"/>
      <c r="AJ32" s="52"/>
      <c r="AK32" s="52"/>
    </row>
    <row r="33" spans="1:37" ht="11.9" customHeight="1" x14ac:dyDescent="0.25">
      <c r="A33" s="31" t="s">
        <v>27</v>
      </c>
      <c r="B33" s="16"/>
      <c r="C33" s="16"/>
      <c r="D33" s="40"/>
      <c r="E33" s="16"/>
      <c r="F33" s="16"/>
      <c r="G33" s="16"/>
      <c r="H33" s="16"/>
      <c r="I33" s="16"/>
      <c r="J33" s="16"/>
      <c r="K33" s="16"/>
      <c r="L33" s="16"/>
      <c r="M33" s="16"/>
      <c r="N33" s="16"/>
      <c r="O33" s="16"/>
      <c r="P33" s="16"/>
      <c r="U33" s="52"/>
      <c r="V33" s="52"/>
      <c r="W33" s="52"/>
      <c r="X33" s="52"/>
      <c r="Y33" s="52"/>
      <c r="Z33" s="52"/>
      <c r="AA33" s="52"/>
      <c r="AB33" s="52"/>
      <c r="AC33" s="52"/>
      <c r="AD33" s="52"/>
      <c r="AE33" s="52"/>
      <c r="AF33" s="52"/>
      <c r="AG33" s="52"/>
      <c r="AH33" s="52"/>
      <c r="AI33" s="52"/>
      <c r="AJ33" s="52"/>
      <c r="AK33" s="52"/>
    </row>
    <row r="34" spans="1:37" ht="11.9" customHeight="1" x14ac:dyDescent="0.25">
      <c r="A34" s="31" t="s">
        <v>28</v>
      </c>
      <c r="B34" s="16"/>
      <c r="C34" s="16"/>
      <c r="D34" s="40"/>
      <c r="E34" s="16"/>
      <c r="F34" s="16"/>
      <c r="G34" s="16"/>
      <c r="H34" s="16"/>
      <c r="I34" s="16"/>
      <c r="J34" s="16"/>
      <c r="K34" s="16"/>
      <c r="L34" s="16"/>
      <c r="M34" s="16"/>
      <c r="N34" s="16"/>
      <c r="O34" s="16"/>
      <c r="P34" s="16"/>
      <c r="U34" s="52"/>
      <c r="V34" s="52"/>
      <c r="W34" s="52"/>
      <c r="X34" s="52"/>
      <c r="Y34" s="52"/>
      <c r="Z34" s="52"/>
      <c r="AA34" s="52"/>
      <c r="AB34" s="52"/>
      <c r="AC34" s="52"/>
      <c r="AD34" s="52"/>
      <c r="AE34" s="52"/>
      <c r="AF34" s="52"/>
      <c r="AG34" s="52"/>
      <c r="AH34" s="52"/>
      <c r="AI34" s="52"/>
      <c r="AJ34" s="52"/>
      <c r="AK34" s="52"/>
    </row>
    <row r="35" spans="1:37" ht="11.9" customHeight="1" x14ac:dyDescent="0.25">
      <c r="A35" s="31" t="s">
        <v>29</v>
      </c>
      <c r="B35" s="16"/>
      <c r="C35" s="16"/>
      <c r="D35" s="40"/>
      <c r="E35" s="16"/>
      <c r="F35" s="16"/>
      <c r="G35" s="16"/>
      <c r="H35" s="16"/>
      <c r="I35" s="16"/>
      <c r="J35" s="16"/>
      <c r="K35" s="16"/>
      <c r="L35" s="16"/>
      <c r="M35" s="16"/>
      <c r="N35" s="16"/>
      <c r="O35" s="16"/>
      <c r="P35" s="16"/>
      <c r="U35" s="52"/>
      <c r="V35" s="52"/>
      <c r="W35" s="52"/>
      <c r="X35" s="52"/>
      <c r="Y35" s="52"/>
      <c r="Z35" s="52"/>
      <c r="AA35" s="52"/>
      <c r="AB35" s="52"/>
      <c r="AC35" s="52"/>
      <c r="AD35" s="52"/>
      <c r="AE35" s="52"/>
      <c r="AF35" s="52"/>
      <c r="AG35" s="52"/>
      <c r="AH35" s="52"/>
      <c r="AI35" s="52"/>
      <c r="AJ35" s="52"/>
      <c r="AK35" s="52"/>
    </row>
    <row r="36" spans="1:37" ht="11.9" customHeight="1" x14ac:dyDescent="0.25">
      <c r="A36" s="56"/>
      <c r="B36" s="16"/>
      <c r="C36" s="16"/>
      <c r="D36" s="40"/>
      <c r="E36" s="16"/>
      <c r="F36" s="16"/>
      <c r="G36" s="16"/>
      <c r="H36" s="16"/>
      <c r="I36" s="16"/>
      <c r="J36" s="16"/>
      <c r="K36" s="16"/>
      <c r="L36" s="16"/>
      <c r="M36" s="16"/>
      <c r="N36" s="16"/>
      <c r="O36" s="16"/>
      <c r="P36" s="16"/>
      <c r="U36" s="52"/>
      <c r="V36" s="52"/>
      <c r="W36" s="52"/>
      <c r="X36" s="52"/>
      <c r="Y36" s="52"/>
      <c r="Z36" s="52"/>
      <c r="AA36" s="52"/>
      <c r="AB36" s="52"/>
      <c r="AC36" s="52"/>
      <c r="AD36" s="52"/>
      <c r="AE36" s="52"/>
      <c r="AF36" s="52"/>
      <c r="AG36" s="52"/>
      <c r="AH36" s="52"/>
      <c r="AI36" s="52"/>
      <c r="AJ36" s="52"/>
      <c r="AK36" s="52"/>
    </row>
    <row r="37" spans="1:37" s="80" customFormat="1" ht="13.5" x14ac:dyDescent="0.25">
      <c r="A37" s="93" t="s">
        <v>30</v>
      </c>
      <c r="B37" s="86"/>
      <c r="C37" s="86"/>
      <c r="D37" s="87"/>
      <c r="E37" s="87"/>
      <c r="F37" s="86"/>
      <c r="G37" s="86"/>
      <c r="H37" s="86"/>
      <c r="I37" s="86"/>
      <c r="J37" s="86"/>
      <c r="K37" s="86"/>
      <c r="L37" s="86"/>
      <c r="M37" s="86"/>
      <c r="N37" s="86"/>
      <c r="O37" s="86"/>
      <c r="P37" s="86"/>
      <c r="U37" s="81"/>
      <c r="V37" s="81"/>
      <c r="W37" s="81"/>
      <c r="X37" s="81"/>
    </row>
    <row r="38" spans="1:37" s="80" customFormat="1" ht="11.9" customHeight="1" x14ac:dyDescent="0.25">
      <c r="A38" s="16" t="s">
        <v>31</v>
      </c>
      <c r="B38" s="16"/>
      <c r="C38" s="16"/>
      <c r="D38" s="16"/>
      <c r="E38" s="16"/>
      <c r="F38" s="16"/>
      <c r="G38" s="16"/>
      <c r="H38" s="16"/>
      <c r="I38" s="16"/>
      <c r="J38" s="16"/>
      <c r="K38" s="16"/>
      <c r="L38" s="16"/>
      <c r="M38" s="16"/>
      <c r="N38" s="16"/>
      <c r="O38" s="16"/>
      <c r="P38" s="16"/>
      <c r="U38" s="81"/>
      <c r="V38" s="81"/>
      <c r="W38" s="81"/>
      <c r="X38" s="81"/>
    </row>
    <row r="39" spans="1:37" s="80" customFormat="1" ht="11.9" customHeight="1" x14ac:dyDescent="0.25">
      <c r="A39" s="108" t="s">
        <v>32</v>
      </c>
      <c r="B39" s="108"/>
      <c r="C39" s="108"/>
      <c r="D39" s="108"/>
      <c r="E39" s="108"/>
      <c r="F39" s="108"/>
      <c r="G39" s="108"/>
      <c r="H39" s="108"/>
      <c r="I39" s="108"/>
      <c r="J39" s="108"/>
      <c r="K39" s="108"/>
      <c r="L39" s="108"/>
      <c r="M39" s="108"/>
      <c r="N39" s="108"/>
      <c r="O39" s="108"/>
      <c r="P39" s="108"/>
      <c r="U39" s="81"/>
      <c r="V39" s="81"/>
      <c r="W39" s="81"/>
      <c r="X39" s="81"/>
    </row>
    <row r="40" spans="1:37" s="80" customFormat="1" ht="11.9" customHeight="1" x14ac:dyDescent="0.25">
      <c r="A40" s="108" t="s">
        <v>33</v>
      </c>
      <c r="B40" s="108"/>
      <c r="C40" s="108"/>
      <c r="D40" s="108"/>
      <c r="E40" s="108"/>
      <c r="F40" s="108"/>
      <c r="G40" s="108"/>
      <c r="H40" s="108"/>
      <c r="I40" s="108"/>
      <c r="J40" s="108"/>
      <c r="K40" s="108"/>
      <c r="L40" s="108"/>
      <c r="M40" s="108"/>
      <c r="N40" s="108"/>
      <c r="O40" s="108"/>
      <c r="P40" s="108"/>
      <c r="U40" s="81"/>
      <c r="V40" s="81"/>
      <c r="W40" s="81"/>
      <c r="X40" s="81"/>
    </row>
    <row r="41" spans="1:37" s="80" customFormat="1" ht="11.9" customHeight="1" x14ac:dyDescent="0.25">
      <c r="A41" s="108"/>
      <c r="B41" s="108"/>
      <c r="C41" s="108"/>
      <c r="D41" s="108"/>
      <c r="E41" s="108"/>
      <c r="F41" s="108"/>
      <c r="G41" s="108"/>
      <c r="H41" s="108"/>
      <c r="I41" s="108"/>
      <c r="J41" s="108"/>
      <c r="K41" s="108"/>
      <c r="L41" s="108"/>
      <c r="M41" s="108"/>
      <c r="N41" s="108"/>
      <c r="O41" s="108"/>
      <c r="P41" s="108"/>
      <c r="U41" s="81"/>
      <c r="V41" s="81"/>
      <c r="W41" s="81"/>
      <c r="X41" s="81"/>
    </row>
    <row r="42" spans="1:37" s="80" customFormat="1" ht="11.9" customHeight="1" x14ac:dyDescent="0.25">
      <c r="A42" s="108" t="s">
        <v>34</v>
      </c>
      <c r="B42" s="108"/>
      <c r="C42" s="108"/>
      <c r="D42" s="108"/>
      <c r="E42" s="108"/>
      <c r="F42" s="108"/>
      <c r="G42" s="108"/>
      <c r="H42" s="108"/>
      <c r="I42" s="108"/>
      <c r="J42" s="108"/>
      <c r="K42" s="108"/>
      <c r="L42" s="108"/>
      <c r="M42" s="108"/>
      <c r="N42" s="108"/>
      <c r="O42" s="108"/>
      <c r="P42" s="108"/>
      <c r="U42" s="81"/>
      <c r="V42" s="81"/>
      <c r="W42" s="81"/>
      <c r="X42" s="81"/>
    </row>
    <row r="43" spans="1:37" s="80" customFormat="1" ht="11.9" customHeight="1" x14ac:dyDescent="0.25">
      <c r="A43" s="108" t="s">
        <v>35</v>
      </c>
      <c r="B43" s="108"/>
      <c r="C43" s="108"/>
      <c r="D43" s="108"/>
      <c r="E43" s="108"/>
      <c r="F43" s="108"/>
      <c r="G43" s="108"/>
      <c r="H43" s="108"/>
      <c r="I43" s="108"/>
      <c r="J43" s="108"/>
      <c r="K43" s="108"/>
      <c r="L43" s="108"/>
      <c r="M43" s="108"/>
      <c r="N43" s="108"/>
      <c r="O43" s="108"/>
      <c r="P43" s="108"/>
      <c r="U43" s="81"/>
      <c r="V43" s="81"/>
      <c r="W43" s="81"/>
      <c r="X43" s="81"/>
    </row>
    <row r="44" spans="1:37" s="80" customFormat="1" ht="11.9" customHeight="1" x14ac:dyDescent="0.25">
      <c r="A44" s="108" t="s">
        <v>36</v>
      </c>
      <c r="B44" s="108"/>
      <c r="C44" s="108"/>
      <c r="D44" s="108"/>
      <c r="E44" s="108"/>
      <c r="F44" s="108"/>
      <c r="G44" s="108"/>
      <c r="H44" s="108"/>
      <c r="I44" s="108"/>
      <c r="J44" s="108"/>
      <c r="K44" s="108"/>
      <c r="L44" s="108"/>
      <c r="M44" s="108"/>
      <c r="N44" s="108"/>
      <c r="O44" s="108"/>
      <c r="P44" s="108"/>
      <c r="U44" s="81"/>
      <c r="V44" s="81"/>
      <c r="W44" s="81"/>
      <c r="X44" s="81"/>
    </row>
    <row r="45" spans="1:37" s="80" customFormat="1" ht="11.9" customHeight="1" x14ac:dyDescent="0.25">
      <c r="A45" s="108"/>
      <c r="B45" s="108"/>
      <c r="C45" s="108"/>
      <c r="D45" s="108"/>
      <c r="E45" s="108"/>
      <c r="F45" s="108"/>
      <c r="G45" s="108"/>
      <c r="H45" s="108"/>
      <c r="I45" s="108"/>
      <c r="J45" s="108"/>
      <c r="K45" s="108"/>
      <c r="L45" s="108"/>
      <c r="M45" s="108"/>
      <c r="N45" s="108"/>
      <c r="O45" s="108"/>
      <c r="P45" s="108"/>
      <c r="U45" s="81"/>
      <c r="V45" s="81"/>
      <c r="W45" s="81"/>
      <c r="X45" s="81"/>
    </row>
    <row r="46" spans="1:37" s="80" customFormat="1" ht="11.9" customHeight="1" x14ac:dyDescent="0.25">
      <c r="A46"/>
      <c r="B46" s="108"/>
      <c r="C46" s="108"/>
      <c r="D46" s="108"/>
      <c r="E46" s="108"/>
      <c r="F46" s="108"/>
      <c r="G46" s="108"/>
      <c r="H46" s="108"/>
      <c r="I46" s="108"/>
      <c r="J46" s="108"/>
      <c r="K46" s="108"/>
      <c r="L46" s="108"/>
      <c r="M46" s="108"/>
      <c r="N46" s="108"/>
      <c r="O46" s="108"/>
      <c r="P46" s="108"/>
      <c r="U46" s="81"/>
      <c r="V46" s="81"/>
      <c r="W46" s="81"/>
      <c r="X46" s="81"/>
    </row>
    <row r="47" spans="1:37" s="80" customFormat="1" ht="11.9" customHeight="1" x14ac:dyDescent="0.25">
      <c r="A47" s="108"/>
      <c r="B47" s="108"/>
      <c r="C47" s="108"/>
      <c r="D47" s="108"/>
      <c r="E47" s="108"/>
      <c r="F47" s="108"/>
      <c r="G47" s="108"/>
      <c r="H47" s="108"/>
      <c r="I47" s="108"/>
      <c r="J47" s="108"/>
      <c r="K47" s="108"/>
      <c r="L47" s="108"/>
      <c r="M47" s="108"/>
      <c r="N47" s="108"/>
      <c r="O47" s="108"/>
      <c r="P47" s="108"/>
      <c r="U47" s="81"/>
      <c r="V47" s="81"/>
      <c r="W47" s="81"/>
      <c r="X47" s="81"/>
    </row>
    <row r="48" spans="1:37" s="80" customFormat="1" ht="11.9" customHeight="1" x14ac:dyDescent="0.25">
      <c r="A48" s="108"/>
      <c r="B48" s="108"/>
      <c r="C48" s="108"/>
      <c r="D48" s="108"/>
      <c r="E48" s="108"/>
      <c r="F48" s="108"/>
      <c r="G48" s="108"/>
      <c r="H48" s="108"/>
      <c r="I48" s="108"/>
      <c r="J48" s="108"/>
      <c r="K48" s="108"/>
      <c r="L48" s="108"/>
      <c r="M48" s="108"/>
      <c r="N48" s="108"/>
      <c r="O48" s="108"/>
      <c r="P48" s="108"/>
      <c r="U48" s="81"/>
      <c r="V48" s="81"/>
      <c r="W48" s="81"/>
      <c r="X48" s="81"/>
    </row>
    <row r="49" spans="1:37" s="80" customFormat="1" ht="11.9" customHeight="1" x14ac:dyDescent="0.25">
      <c r="A49" s="108" t="s">
        <v>37</v>
      </c>
      <c r="B49" s="108"/>
      <c r="C49" s="108"/>
      <c r="D49" s="108"/>
      <c r="E49" s="108"/>
      <c r="F49" s="108"/>
      <c r="G49" s="108"/>
      <c r="H49" s="108"/>
      <c r="I49" s="108"/>
      <c r="J49" s="108"/>
      <c r="K49" s="108"/>
      <c r="L49" s="108"/>
      <c r="M49" s="108"/>
      <c r="N49" s="108"/>
      <c r="O49" s="108"/>
      <c r="P49" s="108"/>
      <c r="U49" s="81"/>
      <c r="V49" s="81"/>
      <c r="W49" s="81"/>
      <c r="X49" s="81"/>
    </row>
    <row r="50" spans="1:37" s="80" customFormat="1" ht="11.9" customHeight="1" x14ac:dyDescent="0.25">
      <c r="A50" s="108" t="s">
        <v>38</v>
      </c>
      <c r="B50" s="108"/>
      <c r="C50" s="108"/>
      <c r="D50" s="108"/>
      <c r="E50" s="108"/>
      <c r="F50" s="108"/>
      <c r="G50" s="108"/>
      <c r="H50" s="108"/>
      <c r="I50" s="108"/>
      <c r="J50" s="108"/>
      <c r="K50" s="108"/>
      <c r="L50" s="108"/>
      <c r="M50" s="108"/>
      <c r="N50" s="108"/>
      <c r="O50" s="108"/>
      <c r="P50" s="108"/>
      <c r="U50" s="81"/>
      <c r="V50" s="81"/>
      <c r="W50" s="81"/>
      <c r="X50" s="81"/>
    </row>
    <row r="51" spans="1:37" s="80" customFormat="1" ht="11.9" customHeight="1" x14ac:dyDescent="0.25">
      <c r="A51" s="108" t="s">
        <v>39</v>
      </c>
      <c r="B51" s="108"/>
      <c r="C51" s="108"/>
      <c r="D51" s="108"/>
      <c r="E51" s="108"/>
      <c r="F51" s="108"/>
      <c r="G51" s="108"/>
      <c r="H51" s="108"/>
      <c r="I51" s="108"/>
      <c r="J51" s="108"/>
      <c r="K51" s="108"/>
      <c r="L51" s="108"/>
      <c r="M51" s="108"/>
      <c r="N51" s="108"/>
      <c r="O51" s="108"/>
      <c r="P51" s="108"/>
      <c r="U51" s="81"/>
      <c r="V51" s="81"/>
      <c r="W51" s="81"/>
      <c r="X51" s="81"/>
    </row>
    <row r="52" spans="1:37" s="80" customFormat="1" ht="11.9" customHeight="1" x14ac:dyDescent="0.25">
      <c r="A52" s="108" t="s">
        <v>40</v>
      </c>
      <c r="B52" s="108"/>
      <c r="C52" s="108"/>
      <c r="D52" s="108"/>
      <c r="E52" s="108"/>
      <c r="F52" s="108"/>
      <c r="G52" s="108"/>
      <c r="H52" s="108"/>
      <c r="I52" s="108"/>
      <c r="J52" s="108"/>
      <c r="K52" s="108"/>
      <c r="L52" s="108"/>
      <c r="M52" s="108"/>
      <c r="N52" s="108"/>
      <c r="O52" s="108"/>
      <c r="P52" s="108"/>
      <c r="U52" s="81"/>
      <c r="V52" s="81"/>
      <c r="W52" s="81"/>
      <c r="X52" s="81"/>
    </row>
    <row r="53" spans="1:37" s="80" customFormat="1" ht="11.9" customHeight="1" x14ac:dyDescent="0.25">
      <c r="A53" s="108" t="s">
        <v>41</v>
      </c>
      <c r="B53" s="108"/>
      <c r="C53" s="108"/>
      <c r="D53" s="108"/>
      <c r="E53" s="108"/>
      <c r="F53" s="108"/>
      <c r="G53" s="108"/>
      <c r="H53" s="108"/>
      <c r="I53" s="108"/>
      <c r="J53" s="108"/>
      <c r="K53" s="108"/>
      <c r="L53" s="108"/>
      <c r="M53" s="108"/>
      <c r="N53" s="108"/>
      <c r="O53" s="108"/>
      <c r="P53" s="108"/>
      <c r="U53" s="81"/>
      <c r="V53" s="81"/>
      <c r="W53" s="81"/>
      <c r="X53" s="81"/>
    </row>
    <row r="54" spans="1:37" s="80" customFormat="1" ht="11.9" customHeight="1" x14ac:dyDescent="0.25">
      <c r="A54" s="108"/>
      <c r="B54" s="108"/>
      <c r="C54" s="108"/>
      <c r="D54" s="108"/>
      <c r="E54" s="108"/>
      <c r="F54" s="108"/>
      <c r="G54" s="108"/>
      <c r="H54" s="108"/>
      <c r="I54" s="108"/>
      <c r="J54" s="108"/>
      <c r="K54" s="108"/>
      <c r="L54" s="108"/>
      <c r="M54" s="108"/>
      <c r="N54" s="108"/>
      <c r="O54" s="108"/>
      <c r="P54" s="108"/>
      <c r="U54" s="81"/>
      <c r="V54" s="81"/>
      <c r="W54" s="81"/>
      <c r="X54" s="81"/>
    </row>
    <row r="55" spans="1:37" s="80" customFormat="1" ht="11.9" customHeight="1" x14ac:dyDescent="0.25">
      <c r="A55" s="108" t="s">
        <v>42</v>
      </c>
      <c r="B55" s="108"/>
      <c r="C55" s="108"/>
      <c r="D55" s="108"/>
      <c r="E55" s="108"/>
      <c r="F55" s="108"/>
      <c r="G55" s="108"/>
      <c r="H55" s="108"/>
      <c r="I55" s="108"/>
      <c r="J55" s="108"/>
      <c r="K55" s="108"/>
      <c r="L55" s="108"/>
      <c r="M55" s="108"/>
      <c r="N55" s="108"/>
      <c r="O55" s="108"/>
      <c r="P55" s="108"/>
      <c r="U55" s="81"/>
      <c r="V55" s="81"/>
      <c r="W55" s="81"/>
      <c r="X55" s="81"/>
    </row>
    <row r="56" spans="1:37" s="80" customFormat="1" ht="11.9" customHeight="1" x14ac:dyDescent="0.25">
      <c r="A56" s="108" t="s">
        <v>43</v>
      </c>
      <c r="B56" s="108"/>
      <c r="C56" s="108"/>
      <c r="D56" s="108"/>
      <c r="E56" s="108"/>
      <c r="F56" s="108"/>
      <c r="G56" s="108"/>
      <c r="H56" s="108"/>
      <c r="I56" s="108"/>
      <c r="J56" s="108"/>
      <c r="K56" s="108"/>
      <c r="L56" s="108"/>
      <c r="M56" s="108"/>
      <c r="N56" s="108"/>
      <c r="O56" s="108"/>
      <c r="P56" s="108"/>
      <c r="U56" s="81"/>
      <c r="V56" s="81"/>
      <c r="W56" s="81"/>
      <c r="X56" s="81"/>
    </row>
    <row r="57" spans="1:37" s="80" customFormat="1" ht="11.9" customHeight="1" x14ac:dyDescent="0.25">
      <c r="A57" s="108"/>
      <c r="B57" s="108"/>
      <c r="C57" s="108"/>
      <c r="D57" s="108"/>
      <c r="E57" s="108"/>
      <c r="F57" s="108"/>
      <c r="G57" s="108"/>
      <c r="H57" s="108"/>
      <c r="I57" s="108"/>
      <c r="J57" s="108"/>
      <c r="K57" s="108"/>
      <c r="L57" s="108"/>
      <c r="M57" s="108"/>
      <c r="N57" s="108"/>
      <c r="O57" s="108"/>
      <c r="P57" s="108"/>
      <c r="U57" s="81"/>
      <c r="V57" s="81"/>
      <c r="W57" s="81"/>
      <c r="X57" s="81"/>
    </row>
    <row r="58" spans="1:37" s="80" customFormat="1" ht="11.9" customHeight="1" x14ac:dyDescent="0.25">
      <c r="A58" s="108" t="s">
        <v>44</v>
      </c>
      <c r="B58" s="108"/>
      <c r="C58" s="108"/>
      <c r="D58" s="108"/>
      <c r="E58" s="108"/>
      <c r="F58" s="108"/>
      <c r="G58" s="108"/>
      <c r="H58" s="108"/>
      <c r="I58" s="108"/>
      <c r="J58" s="108"/>
      <c r="K58" s="108"/>
      <c r="L58" s="108"/>
      <c r="M58" s="108"/>
      <c r="N58" s="108"/>
      <c r="O58" s="108"/>
      <c r="P58" s="108"/>
      <c r="U58" s="81"/>
      <c r="V58" s="81"/>
      <c r="W58" s="81"/>
      <c r="X58" s="81"/>
    </row>
    <row r="59" spans="1:37" s="80" customFormat="1" ht="11.9" customHeight="1" x14ac:dyDescent="0.25">
      <c r="A59" s="108" t="s">
        <v>45</v>
      </c>
      <c r="B59" s="108"/>
      <c r="C59" s="108"/>
      <c r="D59" s="108"/>
      <c r="E59" s="108"/>
      <c r="F59" s="108"/>
      <c r="G59" s="108"/>
      <c r="H59" s="108"/>
      <c r="I59" s="108"/>
      <c r="J59" s="108"/>
      <c r="K59" s="108"/>
      <c r="L59" s="108"/>
      <c r="M59" s="108"/>
      <c r="N59" s="108"/>
      <c r="O59" s="108"/>
      <c r="P59" s="108"/>
      <c r="U59" s="81"/>
      <c r="V59" s="81"/>
      <c r="W59" s="81"/>
      <c r="X59" s="81"/>
    </row>
    <row r="60" spans="1:37" s="80" customFormat="1" ht="11.9" customHeight="1" x14ac:dyDescent="0.25">
      <c r="A60" s="9"/>
      <c r="B60" s="16"/>
      <c r="C60" s="9"/>
      <c r="D60" s="9"/>
      <c r="E60" s="9"/>
      <c r="F60" s="9"/>
      <c r="G60" s="9"/>
      <c r="H60" s="9"/>
      <c r="I60" s="9"/>
      <c r="J60" s="9"/>
      <c r="K60" s="9"/>
      <c r="L60" s="9"/>
      <c r="M60" s="9"/>
      <c r="N60" s="9"/>
      <c r="O60" s="9"/>
      <c r="P60" s="9"/>
      <c r="U60" s="81"/>
      <c r="V60" s="81"/>
      <c r="W60" s="81"/>
      <c r="X60" s="81"/>
    </row>
    <row r="61" spans="1:37" s="80" customFormat="1" ht="13.5" x14ac:dyDescent="0.25">
      <c r="A61" s="77" t="s">
        <v>46</v>
      </c>
      <c r="B61" s="78"/>
      <c r="C61" s="78"/>
      <c r="D61" s="78"/>
      <c r="E61" s="78"/>
      <c r="F61" s="78"/>
      <c r="G61" s="78"/>
      <c r="H61" s="78"/>
      <c r="I61" s="78"/>
      <c r="J61" s="78"/>
      <c r="K61" s="78"/>
      <c r="L61" s="78"/>
      <c r="M61" s="78"/>
      <c r="N61" s="78"/>
      <c r="O61" s="78"/>
      <c r="P61" s="78"/>
      <c r="U61" s="81"/>
      <c r="V61" s="81"/>
      <c r="W61" s="81"/>
      <c r="X61" s="81"/>
    </row>
    <row r="62" spans="1:37" ht="11.9" customHeight="1" x14ac:dyDescent="0.25">
      <c r="A62" s="141"/>
      <c r="B62" s="16"/>
      <c r="C62" s="16"/>
      <c r="D62" s="16"/>
      <c r="E62" s="16"/>
      <c r="F62" s="16"/>
      <c r="G62" s="16"/>
      <c r="H62" s="16"/>
      <c r="I62" s="16"/>
      <c r="J62" s="16"/>
      <c r="K62" s="16"/>
      <c r="L62" s="16"/>
      <c r="M62" s="16"/>
      <c r="N62" s="16"/>
      <c r="O62" s="16"/>
      <c r="P62" s="16"/>
      <c r="U62" s="52"/>
      <c r="V62" s="52"/>
      <c r="W62" s="52"/>
      <c r="X62" s="52"/>
      <c r="Y62" s="52"/>
      <c r="Z62" s="52"/>
      <c r="AA62" s="52"/>
      <c r="AB62" s="52"/>
      <c r="AC62" s="52"/>
      <c r="AD62" s="52"/>
      <c r="AE62" s="52"/>
      <c r="AF62" s="52"/>
      <c r="AG62" s="52"/>
      <c r="AH62" s="52"/>
      <c r="AI62" s="52"/>
      <c r="AJ62" s="52"/>
      <c r="AK62" s="52"/>
    </row>
    <row r="63" spans="1:37" ht="11.9" customHeight="1" x14ac:dyDescent="0.25">
      <c r="A63" s="245" t="s">
        <v>47</v>
      </c>
      <c r="B63" s="16"/>
      <c r="C63" s="16"/>
      <c r="D63" s="16"/>
      <c r="E63" s="16"/>
      <c r="F63" s="16"/>
      <c r="G63" s="16"/>
      <c r="H63" s="16"/>
      <c r="I63" s="16"/>
      <c r="J63" s="16"/>
      <c r="K63" s="16"/>
      <c r="L63" s="16"/>
      <c r="M63" s="16"/>
      <c r="N63" s="16"/>
      <c r="O63" s="16"/>
      <c r="P63" s="16"/>
      <c r="U63" s="52"/>
      <c r="V63" s="52"/>
      <c r="W63" s="52"/>
      <c r="X63" s="52"/>
      <c r="Y63" s="52"/>
      <c r="Z63" s="52"/>
      <c r="AA63" s="52"/>
      <c r="AB63" s="52"/>
      <c r="AC63" s="52"/>
      <c r="AD63" s="52"/>
      <c r="AE63" s="52"/>
      <c r="AF63" s="52"/>
      <c r="AG63" s="52"/>
      <c r="AH63" s="52"/>
      <c r="AI63" s="52"/>
      <c r="AJ63" s="52"/>
      <c r="AK63" s="52"/>
    </row>
    <row r="64" spans="1:37" ht="11.9" customHeight="1" x14ac:dyDescent="0.25">
      <c r="A64" s="56" t="s">
        <v>48</v>
      </c>
      <c r="B64" s="16"/>
      <c r="C64" s="16"/>
      <c r="D64" s="16"/>
      <c r="E64" s="16"/>
      <c r="F64" s="16"/>
      <c r="G64" s="16"/>
      <c r="H64" s="16"/>
      <c r="I64" s="16"/>
      <c r="J64" s="16"/>
      <c r="K64" s="16"/>
      <c r="L64" s="16"/>
      <c r="M64" s="16"/>
      <c r="N64" s="16"/>
      <c r="O64" s="16"/>
      <c r="P64" s="16"/>
      <c r="Y64" s="52"/>
      <c r="Z64" s="52"/>
      <c r="AA64" s="52"/>
      <c r="AB64" s="52"/>
      <c r="AC64" s="52"/>
      <c r="AD64" s="52"/>
      <c r="AE64" s="52"/>
      <c r="AF64" s="52"/>
      <c r="AG64" s="52"/>
      <c r="AH64" s="52"/>
      <c r="AI64" s="52"/>
      <c r="AJ64" s="52"/>
      <c r="AK64" s="52"/>
    </row>
    <row r="65" spans="1:37" ht="11.9" customHeight="1" x14ac:dyDescent="0.25">
      <c r="A65" s="244" t="s">
        <v>49</v>
      </c>
      <c r="B65" s="16"/>
      <c r="C65" s="16"/>
      <c r="D65" s="16"/>
      <c r="E65" s="16"/>
      <c r="F65" s="16"/>
      <c r="G65" s="16"/>
      <c r="H65" s="16"/>
      <c r="I65" s="16"/>
      <c r="J65" s="16"/>
      <c r="K65" s="16"/>
      <c r="L65" s="16"/>
      <c r="M65" s="16"/>
      <c r="N65" s="16"/>
      <c r="O65" s="16"/>
      <c r="P65" s="16"/>
      <c r="Y65" s="52"/>
      <c r="Z65" s="52"/>
      <c r="AA65" s="52"/>
      <c r="AB65" s="52"/>
      <c r="AC65" s="52"/>
      <c r="AD65" s="52"/>
      <c r="AE65" s="52"/>
      <c r="AF65" s="52"/>
      <c r="AG65" s="52"/>
      <c r="AH65" s="52"/>
      <c r="AI65" s="52"/>
      <c r="AJ65" s="52"/>
      <c r="AK65" s="52"/>
    </row>
    <row r="66" spans="1:37" ht="11.9" customHeight="1" x14ac:dyDescent="0.25">
      <c r="A66" s="244" t="s">
        <v>50</v>
      </c>
      <c r="B66" s="16"/>
      <c r="C66" s="16"/>
      <c r="D66" s="16"/>
      <c r="E66" s="16"/>
      <c r="F66" s="16"/>
      <c r="G66" s="16"/>
      <c r="H66" s="16"/>
      <c r="I66" s="16"/>
      <c r="J66" s="16"/>
      <c r="K66" s="16"/>
      <c r="L66" s="16"/>
      <c r="M66" s="16"/>
      <c r="N66" s="16"/>
      <c r="O66" s="16"/>
      <c r="P66" s="16"/>
      <c r="Y66" s="52"/>
      <c r="Z66" s="52"/>
      <c r="AA66" s="52"/>
      <c r="AB66" s="52"/>
      <c r="AC66" s="52"/>
      <c r="AD66" s="52"/>
      <c r="AE66" s="52"/>
      <c r="AF66" s="52"/>
      <c r="AG66" s="52"/>
      <c r="AH66" s="52"/>
      <c r="AI66" s="52"/>
      <c r="AJ66" s="52"/>
      <c r="AK66" s="52"/>
    </row>
    <row r="67" spans="1:37" ht="11.9" customHeight="1" x14ac:dyDescent="0.25">
      <c r="A67" s="244" t="s">
        <v>51</v>
      </c>
      <c r="B67" s="16"/>
      <c r="C67" s="16"/>
      <c r="D67" s="16"/>
      <c r="E67" s="16"/>
      <c r="F67" s="16"/>
      <c r="G67" s="16"/>
      <c r="H67" s="16"/>
      <c r="I67" s="16"/>
      <c r="J67" s="16"/>
      <c r="K67" s="16"/>
      <c r="L67" s="16"/>
      <c r="M67" s="16"/>
      <c r="N67" s="16"/>
      <c r="O67" s="16"/>
      <c r="P67" s="16"/>
      <c r="Y67" s="52"/>
      <c r="Z67" s="52"/>
      <c r="AA67" s="52"/>
      <c r="AB67" s="52"/>
      <c r="AC67" s="52"/>
      <c r="AD67" s="52"/>
      <c r="AE67" s="52"/>
      <c r="AF67" s="52"/>
      <c r="AG67" s="52"/>
      <c r="AH67" s="52"/>
      <c r="AI67" s="52"/>
      <c r="AJ67" s="52"/>
      <c r="AK67" s="52"/>
    </row>
    <row r="68" spans="1:37" ht="11.9" customHeight="1" x14ac:dyDescent="0.25">
      <c r="A68" s="145" t="s">
        <v>52</v>
      </c>
      <c r="B68" s="16"/>
      <c r="C68" s="16"/>
      <c r="D68" s="16"/>
      <c r="E68" s="16"/>
      <c r="F68" s="16"/>
      <c r="G68" s="16"/>
      <c r="H68" s="16"/>
      <c r="I68" s="16"/>
      <c r="J68" s="16"/>
      <c r="K68" s="16"/>
      <c r="L68" s="16"/>
      <c r="M68" s="16"/>
      <c r="N68" s="16"/>
      <c r="O68" s="16"/>
      <c r="P68" s="16"/>
      <c r="Y68" s="52"/>
      <c r="Z68" s="52"/>
      <c r="AA68" s="52"/>
      <c r="AB68" s="52"/>
      <c r="AC68" s="52"/>
      <c r="AD68" s="52"/>
      <c r="AE68" s="52"/>
      <c r="AF68" s="52"/>
      <c r="AG68" s="52"/>
      <c r="AH68" s="52"/>
      <c r="AI68" s="52"/>
      <c r="AJ68" s="52"/>
      <c r="AK68" s="52"/>
    </row>
    <row r="69" spans="1:37" ht="11.9" customHeight="1" x14ac:dyDescent="0.25">
      <c r="A69" s="31"/>
      <c r="B69" s="16"/>
      <c r="C69" s="16"/>
      <c r="D69" s="16"/>
      <c r="E69" s="16"/>
      <c r="F69" s="16"/>
      <c r="G69" s="16"/>
      <c r="H69" s="16"/>
      <c r="I69" s="16"/>
      <c r="J69" s="16"/>
      <c r="K69" s="16"/>
      <c r="L69" s="16"/>
      <c r="M69" s="16"/>
      <c r="N69" s="16"/>
      <c r="O69" s="16"/>
      <c r="P69" s="16"/>
      <c r="Y69" s="52"/>
      <c r="Z69" s="52"/>
      <c r="AA69" s="52"/>
      <c r="AB69" s="52"/>
      <c r="AC69" s="52"/>
      <c r="AD69" s="52"/>
      <c r="AE69" s="52"/>
      <c r="AF69" s="52"/>
      <c r="AG69" s="52"/>
      <c r="AH69" s="52"/>
      <c r="AI69" s="52"/>
      <c r="AJ69" s="52"/>
      <c r="AK69" s="52"/>
    </row>
    <row r="70" spans="1:37" ht="11.9" customHeight="1" x14ac:dyDescent="0.25">
      <c r="A70" s="243" t="s">
        <v>53</v>
      </c>
      <c r="B70" s="16"/>
      <c r="C70" s="16"/>
      <c r="D70" s="16"/>
      <c r="E70" s="16"/>
      <c r="F70" s="16"/>
      <c r="G70" s="16"/>
      <c r="H70" s="16"/>
      <c r="I70" s="16"/>
      <c r="J70" s="16"/>
      <c r="K70" s="16"/>
      <c r="L70" s="16"/>
      <c r="M70" s="16"/>
      <c r="N70" s="16"/>
      <c r="O70" s="16"/>
      <c r="P70" s="16"/>
      <c r="Y70" s="52"/>
      <c r="Z70" s="52"/>
      <c r="AA70" s="52"/>
      <c r="AB70" s="52"/>
      <c r="AC70" s="52"/>
      <c r="AD70" s="52"/>
      <c r="AE70" s="52"/>
      <c r="AF70" s="52"/>
      <c r="AG70" s="52"/>
      <c r="AH70" s="52"/>
      <c r="AI70" s="52"/>
      <c r="AJ70" s="52"/>
      <c r="AK70" s="52"/>
    </row>
    <row r="71" spans="1:37" ht="11.9" customHeight="1" x14ac:dyDescent="0.25">
      <c r="A71" s="244" t="s">
        <v>54</v>
      </c>
      <c r="B71" s="16"/>
      <c r="C71" s="16"/>
      <c r="D71" s="16"/>
      <c r="E71" s="16"/>
      <c r="F71" s="16"/>
      <c r="G71" s="16"/>
      <c r="H71" s="16"/>
      <c r="I71" s="16"/>
      <c r="J71" s="16"/>
      <c r="K71" s="16"/>
      <c r="L71" s="16"/>
      <c r="M71" s="16"/>
      <c r="N71" s="16"/>
      <c r="O71" s="16"/>
      <c r="P71" s="16"/>
      <c r="Y71" s="52"/>
      <c r="Z71" s="52"/>
      <c r="AA71" s="52"/>
      <c r="AB71" s="52"/>
      <c r="AC71" s="52"/>
      <c r="AD71" s="52"/>
      <c r="AE71" s="52"/>
      <c r="AF71" s="52"/>
      <c r="AG71" s="52"/>
      <c r="AH71" s="52"/>
      <c r="AI71" s="52"/>
      <c r="AJ71" s="52"/>
      <c r="AK71" s="52"/>
    </row>
    <row r="72" spans="1:37" ht="11.9" customHeight="1" x14ac:dyDescent="0.25">
      <c r="A72" s="244" t="s">
        <v>55</v>
      </c>
      <c r="B72" s="16"/>
      <c r="C72" s="16"/>
      <c r="D72" s="16"/>
      <c r="E72" s="16"/>
      <c r="F72" s="16"/>
      <c r="G72" s="16"/>
      <c r="H72" s="16"/>
      <c r="I72" s="16"/>
      <c r="J72" s="16"/>
      <c r="K72" s="16"/>
      <c r="L72" s="16"/>
      <c r="M72" s="16"/>
      <c r="N72" s="16"/>
      <c r="O72" s="16"/>
      <c r="P72" s="16"/>
      <c r="Y72" s="52"/>
      <c r="Z72" s="52"/>
      <c r="AA72" s="52"/>
      <c r="AB72" s="52"/>
      <c r="AC72" s="52"/>
      <c r="AD72" s="52"/>
      <c r="AE72" s="52"/>
      <c r="AF72" s="52"/>
      <c r="AG72" s="52"/>
      <c r="AH72" s="52"/>
      <c r="AI72" s="52"/>
      <c r="AJ72" s="52"/>
      <c r="AK72" s="52"/>
    </row>
    <row r="73" spans="1:37" ht="11.9" customHeight="1" x14ac:dyDescent="0.25">
      <c r="A73" s="244" t="s">
        <v>56</v>
      </c>
      <c r="B73" s="16"/>
      <c r="C73" s="16"/>
      <c r="D73" s="16"/>
      <c r="E73" s="16"/>
      <c r="F73" s="16"/>
      <c r="G73" s="16"/>
      <c r="H73" s="16"/>
      <c r="I73" s="16"/>
      <c r="J73" s="16"/>
      <c r="K73" s="16"/>
      <c r="L73" s="16"/>
      <c r="M73" s="16"/>
      <c r="N73" s="16"/>
      <c r="O73" s="16"/>
      <c r="P73" s="16"/>
      <c r="Y73" s="52"/>
      <c r="Z73" s="52"/>
      <c r="AA73" s="52"/>
      <c r="AB73" s="52"/>
      <c r="AC73" s="52"/>
      <c r="AD73" s="52"/>
      <c r="AE73" s="52"/>
      <c r="AF73" s="52"/>
      <c r="AG73" s="52"/>
      <c r="AH73" s="52"/>
      <c r="AI73" s="52"/>
      <c r="AJ73" s="52"/>
      <c r="AK73" s="52"/>
    </row>
    <row r="74" spans="1:37" ht="11.9" customHeight="1" x14ac:dyDescent="0.25">
      <c r="A74" s="244" t="s">
        <v>57</v>
      </c>
      <c r="B74" s="16"/>
      <c r="C74" s="16"/>
      <c r="D74" s="16"/>
      <c r="E74" s="16"/>
      <c r="F74" s="16"/>
      <c r="G74" s="16"/>
      <c r="H74" s="16"/>
      <c r="I74" s="16"/>
      <c r="J74" s="16"/>
      <c r="K74" s="16"/>
      <c r="L74" s="16"/>
      <c r="M74" s="16"/>
      <c r="N74" s="16"/>
      <c r="O74" s="16"/>
      <c r="P74" s="16"/>
      <c r="Y74" s="52"/>
      <c r="Z74" s="52"/>
      <c r="AA74" s="52"/>
      <c r="AB74" s="52"/>
      <c r="AC74" s="52"/>
      <c r="AD74" s="52"/>
      <c r="AE74" s="52"/>
      <c r="AF74" s="52"/>
      <c r="AG74" s="52"/>
      <c r="AH74" s="52"/>
      <c r="AI74" s="52"/>
      <c r="AJ74" s="52"/>
      <c r="AK74" s="52"/>
    </row>
    <row r="75" spans="1:37" ht="11.9" customHeight="1" x14ac:dyDescent="0.25">
      <c r="A75" s="244" t="s">
        <v>58</v>
      </c>
      <c r="B75" s="16"/>
      <c r="C75" s="16"/>
      <c r="D75" s="16"/>
      <c r="E75" s="16"/>
      <c r="F75" s="16"/>
      <c r="G75" s="16"/>
      <c r="H75" s="16"/>
      <c r="I75" s="16"/>
      <c r="J75" s="16"/>
      <c r="K75" s="16"/>
      <c r="L75" s="16"/>
      <c r="M75" s="16"/>
      <c r="N75" s="16"/>
      <c r="O75" s="16"/>
      <c r="P75" s="16"/>
      <c r="Y75" s="52"/>
      <c r="Z75" s="52"/>
      <c r="AA75" s="52"/>
      <c r="AB75" s="52"/>
      <c r="AC75" s="52"/>
      <c r="AD75" s="52"/>
      <c r="AE75" s="52"/>
      <c r="AF75" s="52"/>
      <c r="AG75" s="52"/>
      <c r="AH75" s="52"/>
      <c r="AI75" s="52"/>
      <c r="AJ75" s="52"/>
      <c r="AK75" s="52"/>
    </row>
    <row r="76" spans="1:37" ht="11.9" customHeight="1" x14ac:dyDescent="0.25">
      <c r="A76" s="145" t="s">
        <v>59</v>
      </c>
      <c r="B76" s="16"/>
      <c r="C76" s="16"/>
      <c r="D76" s="16"/>
      <c r="E76" s="16"/>
      <c r="F76" s="16"/>
      <c r="G76" s="16"/>
      <c r="H76" s="16"/>
      <c r="I76" s="16"/>
      <c r="J76" s="16"/>
      <c r="K76" s="16"/>
      <c r="L76" s="16"/>
      <c r="M76" s="16"/>
      <c r="N76" s="16"/>
      <c r="O76" s="16"/>
      <c r="P76" s="16"/>
      <c r="Y76" s="52"/>
      <c r="Z76" s="52"/>
      <c r="AA76" s="52"/>
      <c r="AB76" s="52"/>
      <c r="AC76" s="52"/>
      <c r="AD76" s="52"/>
      <c r="AE76" s="52"/>
      <c r="AF76" s="52"/>
      <c r="AG76" s="52"/>
      <c r="AH76" s="52"/>
      <c r="AI76" s="52"/>
      <c r="AJ76" s="52"/>
      <c r="AK76" s="52"/>
    </row>
    <row r="77" spans="1:37" ht="11.9" customHeight="1" x14ac:dyDescent="0.25">
      <c r="A77" s="54"/>
      <c r="B77" s="16"/>
      <c r="C77" s="16"/>
      <c r="D77" s="16"/>
      <c r="E77" s="16"/>
      <c r="F77" s="16"/>
      <c r="G77" s="16"/>
      <c r="H77" s="16"/>
      <c r="I77" s="16"/>
      <c r="J77" s="16"/>
      <c r="K77" s="16"/>
      <c r="L77" s="16"/>
      <c r="M77" s="16"/>
      <c r="N77" s="16"/>
      <c r="O77" s="16"/>
      <c r="P77" s="16"/>
      <c r="Y77" s="52"/>
      <c r="Z77" s="52"/>
      <c r="AA77" s="52"/>
      <c r="AB77" s="52"/>
      <c r="AC77" s="52"/>
      <c r="AD77" s="52"/>
      <c r="AE77" s="52"/>
      <c r="AF77" s="52"/>
      <c r="AG77" s="52"/>
      <c r="AH77" s="52"/>
      <c r="AI77" s="52"/>
      <c r="AJ77" s="52"/>
      <c r="AK77" s="52"/>
    </row>
    <row r="78" spans="1:37" ht="11.9" customHeight="1" x14ac:dyDescent="0.25">
      <c r="A78" s="145" t="s">
        <v>60</v>
      </c>
      <c r="B78" s="1111"/>
      <c r="C78" s="17"/>
      <c r="D78" s="17"/>
      <c r="E78" s="17"/>
      <c r="F78" s="17"/>
      <c r="G78" s="17"/>
      <c r="H78" s="17"/>
      <c r="I78" s="17"/>
      <c r="J78" s="17"/>
      <c r="K78" s="17"/>
      <c r="L78" s="17"/>
      <c r="N78" s="17"/>
      <c r="O78" s="17"/>
      <c r="P78" s="17"/>
      <c r="U78" s="52"/>
      <c r="V78" s="52"/>
      <c r="W78" s="52"/>
      <c r="X78" s="52"/>
      <c r="Y78" s="52"/>
      <c r="Z78" s="52"/>
      <c r="AA78" s="52"/>
      <c r="AB78" s="52"/>
      <c r="AC78" s="52"/>
      <c r="AD78" s="52"/>
      <c r="AE78" s="52"/>
      <c r="AF78" s="52"/>
      <c r="AG78" s="52"/>
      <c r="AH78" s="52"/>
      <c r="AI78" s="52"/>
      <c r="AJ78" s="52"/>
      <c r="AK78" s="52"/>
    </row>
    <row r="79" spans="1:37" ht="11.9" customHeight="1" x14ac:dyDescent="0.25">
      <c r="A79" s="145" t="s">
        <v>61</v>
      </c>
      <c r="B79" s="1111"/>
      <c r="C79" s="17"/>
      <c r="D79" s="17"/>
      <c r="E79" s="17"/>
      <c r="F79" s="17"/>
      <c r="G79" s="17"/>
      <c r="H79" s="17"/>
      <c r="I79" s="17"/>
      <c r="J79" s="17"/>
      <c r="K79" s="17"/>
      <c r="L79" s="17"/>
      <c r="N79" s="17"/>
      <c r="O79" s="17"/>
      <c r="P79" s="17"/>
      <c r="U79" s="52"/>
      <c r="V79" s="52"/>
      <c r="W79" s="52"/>
      <c r="X79" s="52"/>
      <c r="Y79" s="52"/>
      <c r="Z79" s="52"/>
      <c r="AA79" s="52"/>
      <c r="AB79" s="52"/>
      <c r="AC79" s="52"/>
      <c r="AD79" s="52"/>
      <c r="AE79" s="52"/>
      <c r="AF79" s="52"/>
      <c r="AG79" s="52"/>
      <c r="AH79" s="52"/>
      <c r="AI79" s="52"/>
      <c r="AJ79" s="52"/>
      <c r="AK79" s="52"/>
    </row>
    <row r="80" spans="1:37" ht="11.9" customHeight="1" x14ac:dyDescent="0.25">
      <c r="A80" s="145" t="s">
        <v>62</v>
      </c>
      <c r="B80" s="1111"/>
      <c r="C80" s="17"/>
      <c r="D80" s="17"/>
      <c r="E80" s="17"/>
      <c r="F80" s="17"/>
      <c r="G80" s="17"/>
      <c r="H80" s="17"/>
      <c r="I80" s="17"/>
      <c r="J80" s="17"/>
      <c r="K80" s="17"/>
      <c r="L80" s="17"/>
      <c r="N80" s="17"/>
      <c r="O80" s="17"/>
      <c r="P80" s="17"/>
      <c r="U80" s="52"/>
      <c r="V80" s="52"/>
      <c r="W80" s="52"/>
      <c r="X80" s="52"/>
      <c r="Y80" s="52"/>
      <c r="Z80" s="52"/>
      <c r="AA80" s="52"/>
      <c r="AB80" s="52"/>
      <c r="AC80" s="52"/>
      <c r="AD80" s="52"/>
      <c r="AE80" s="52"/>
      <c r="AF80" s="52"/>
      <c r="AG80" s="52"/>
      <c r="AH80" s="52"/>
      <c r="AI80" s="52"/>
      <c r="AJ80" s="52"/>
      <c r="AK80" s="52"/>
    </row>
    <row r="81" spans="1:37" ht="11.9" customHeight="1" x14ac:dyDescent="0.25">
      <c r="A81" s="145" t="s">
        <v>63</v>
      </c>
      <c r="B81" s="1111"/>
      <c r="C81" s="17"/>
      <c r="D81" s="17"/>
      <c r="E81" s="17"/>
      <c r="F81" s="17"/>
      <c r="G81" s="17"/>
      <c r="H81" s="17"/>
      <c r="I81" s="17"/>
      <c r="J81" s="17"/>
      <c r="K81" s="17"/>
      <c r="L81" s="17"/>
      <c r="N81" s="17"/>
      <c r="O81" s="17"/>
      <c r="P81" s="17"/>
      <c r="U81" s="52"/>
      <c r="V81" s="52"/>
      <c r="W81" s="52"/>
      <c r="X81" s="52"/>
      <c r="Y81" s="52"/>
      <c r="Z81" s="52"/>
      <c r="AA81" s="52"/>
      <c r="AB81" s="52"/>
      <c r="AC81" s="52"/>
      <c r="AD81" s="52"/>
      <c r="AE81" s="52"/>
      <c r="AF81" s="52"/>
      <c r="AG81" s="52"/>
      <c r="AH81" s="52"/>
      <c r="AI81" s="52"/>
      <c r="AJ81" s="52"/>
      <c r="AK81" s="52"/>
    </row>
    <row r="82" spans="1:37" ht="11.9" customHeight="1" x14ac:dyDescent="0.25">
      <c r="A82" s="145" t="s">
        <v>64</v>
      </c>
      <c r="B82" s="1111"/>
      <c r="C82" s="17"/>
      <c r="D82" s="17"/>
      <c r="E82" s="17"/>
      <c r="F82" s="17"/>
      <c r="G82" s="17"/>
      <c r="H82" s="17"/>
      <c r="I82" s="17"/>
      <c r="J82" s="17"/>
      <c r="K82" s="17"/>
      <c r="L82" s="17"/>
      <c r="N82" s="17"/>
      <c r="O82" s="17"/>
      <c r="P82" s="17"/>
      <c r="U82" s="52"/>
      <c r="V82" s="52"/>
      <c r="W82" s="52"/>
      <c r="X82" s="52"/>
      <c r="Y82" s="52"/>
      <c r="Z82" s="52"/>
      <c r="AA82" s="52"/>
      <c r="AB82" s="52"/>
      <c r="AC82" s="52"/>
      <c r="AD82" s="52"/>
      <c r="AE82" s="52"/>
      <c r="AF82" s="52"/>
      <c r="AG82" s="52"/>
      <c r="AH82" s="52"/>
      <c r="AI82" s="52"/>
      <c r="AJ82" s="52"/>
      <c r="AK82" s="52"/>
    </row>
    <row r="83" spans="1:37" ht="11.9" customHeight="1" x14ac:dyDescent="0.25">
      <c r="A83" s="145" t="s">
        <v>65</v>
      </c>
      <c r="B83" s="1111"/>
      <c r="C83" s="17"/>
      <c r="D83" s="17"/>
      <c r="E83" s="17"/>
      <c r="F83" s="17"/>
      <c r="G83" s="17"/>
      <c r="H83" s="17"/>
      <c r="I83" s="17"/>
      <c r="J83" s="17"/>
      <c r="K83" s="17"/>
      <c r="L83" s="17"/>
      <c r="N83" s="17"/>
      <c r="O83" s="17"/>
      <c r="P83" s="17"/>
      <c r="U83" s="52"/>
      <c r="V83" s="52"/>
      <c r="W83" s="52"/>
      <c r="X83" s="52"/>
      <c r="Y83" s="52"/>
      <c r="Z83" s="52"/>
      <c r="AA83" s="52"/>
      <c r="AB83" s="52"/>
      <c r="AC83" s="52"/>
      <c r="AD83" s="52"/>
      <c r="AE83" s="52"/>
      <c r="AF83" s="52"/>
      <c r="AG83" s="52"/>
      <c r="AH83" s="52"/>
      <c r="AI83" s="52"/>
      <c r="AJ83" s="52"/>
      <c r="AK83" s="52"/>
    </row>
    <row r="84" spans="1:37" ht="11.9" customHeight="1" x14ac:dyDescent="0.25">
      <c r="A84" s="145" t="s">
        <v>66</v>
      </c>
      <c r="B84" s="1111"/>
      <c r="C84" s="17"/>
      <c r="D84" s="17"/>
      <c r="E84" s="17"/>
      <c r="F84" s="17"/>
      <c r="G84" s="17"/>
      <c r="H84" s="17"/>
      <c r="I84" s="17"/>
      <c r="J84" s="17"/>
      <c r="K84" s="17"/>
      <c r="L84" s="17"/>
      <c r="N84" s="17"/>
      <c r="O84" s="17"/>
      <c r="P84" s="17"/>
      <c r="U84" s="52"/>
      <c r="V84" s="52"/>
      <c r="W84" s="52"/>
      <c r="X84" s="52"/>
      <c r="Y84" s="52"/>
      <c r="Z84" s="52"/>
      <c r="AA84" s="52"/>
      <c r="AB84" s="52"/>
      <c r="AC84" s="52"/>
      <c r="AD84" s="52"/>
      <c r="AE84" s="52"/>
      <c r="AF84" s="52"/>
      <c r="AG84" s="52"/>
      <c r="AH84" s="52"/>
      <c r="AI84" s="52"/>
      <c r="AJ84" s="52"/>
      <c r="AK84" s="52"/>
    </row>
    <row r="85" spans="1:37" ht="11.9" customHeight="1" x14ac:dyDescent="0.25">
      <c r="A85" s="145" t="s">
        <v>67</v>
      </c>
      <c r="B85" s="1111"/>
      <c r="C85" s="17"/>
      <c r="D85" s="17"/>
      <c r="E85" s="17"/>
      <c r="F85" s="17"/>
      <c r="G85" s="17"/>
      <c r="H85" s="17"/>
      <c r="I85" s="17"/>
      <c r="J85" s="17"/>
      <c r="K85" s="17"/>
      <c r="L85" s="17"/>
      <c r="N85" s="17"/>
      <c r="O85" s="17"/>
      <c r="P85" s="17"/>
      <c r="U85" s="52"/>
      <c r="V85" s="52"/>
      <c r="W85" s="52"/>
      <c r="X85" s="52"/>
      <c r="Y85" s="52"/>
      <c r="Z85" s="52"/>
      <c r="AA85" s="52"/>
      <c r="AB85" s="52"/>
      <c r="AC85" s="52"/>
      <c r="AD85" s="52"/>
      <c r="AE85" s="52"/>
      <c r="AF85" s="52"/>
      <c r="AG85" s="52"/>
      <c r="AH85" s="52"/>
      <c r="AI85" s="52"/>
      <c r="AJ85" s="52"/>
      <c r="AK85" s="52"/>
    </row>
    <row r="86" spans="1:37" ht="11.9" customHeight="1" x14ac:dyDescent="0.25">
      <c r="A86" s="145" t="s">
        <v>68</v>
      </c>
      <c r="B86" s="1111"/>
      <c r="C86" s="17"/>
      <c r="D86" s="17"/>
      <c r="E86" s="17"/>
      <c r="F86" s="17"/>
      <c r="G86" s="17"/>
      <c r="H86" s="17"/>
      <c r="I86" s="17"/>
      <c r="J86" s="17"/>
      <c r="K86" s="17"/>
      <c r="L86" s="17"/>
      <c r="N86" s="17"/>
      <c r="O86" s="17"/>
      <c r="P86" s="17"/>
      <c r="U86" s="52"/>
      <c r="V86" s="52"/>
      <c r="W86" s="52"/>
      <c r="X86" s="52"/>
      <c r="Y86" s="52"/>
      <c r="Z86" s="52"/>
      <c r="AA86" s="52"/>
      <c r="AB86" s="52"/>
      <c r="AC86" s="52"/>
      <c r="AD86" s="52"/>
      <c r="AE86" s="52"/>
      <c r="AF86" s="52"/>
      <c r="AG86" s="52"/>
      <c r="AH86" s="52"/>
      <c r="AI86" s="52"/>
      <c r="AJ86" s="52"/>
      <c r="AK86" s="52"/>
    </row>
    <row r="87" spans="1:37" ht="11.9" customHeight="1" x14ac:dyDescent="0.25">
      <c r="A87" s="145" t="s">
        <v>69</v>
      </c>
      <c r="B87" s="1111"/>
      <c r="C87" s="17"/>
      <c r="D87" s="17"/>
      <c r="E87" s="17"/>
      <c r="F87" s="17"/>
      <c r="G87" s="17"/>
      <c r="H87" s="17"/>
      <c r="I87" s="17"/>
      <c r="J87" s="17"/>
      <c r="K87" s="17"/>
      <c r="L87" s="17"/>
      <c r="N87" s="17"/>
      <c r="O87" s="17"/>
      <c r="P87" s="17"/>
      <c r="U87" s="52"/>
      <c r="V87" s="52"/>
      <c r="W87" s="52"/>
      <c r="X87" s="52"/>
      <c r="Y87" s="52"/>
      <c r="Z87" s="52"/>
      <c r="AA87" s="52"/>
      <c r="AB87" s="52"/>
      <c r="AC87" s="52"/>
      <c r="AD87" s="52"/>
      <c r="AE87" s="52"/>
      <c r="AF87" s="52"/>
      <c r="AG87" s="52"/>
      <c r="AH87" s="52"/>
      <c r="AI87" s="52"/>
      <c r="AJ87" s="52"/>
      <c r="AK87" s="52"/>
    </row>
    <row r="88" spans="1:37" ht="11.9" customHeight="1" x14ac:dyDescent="0.25">
      <c r="A88" s="145" t="s">
        <v>70</v>
      </c>
      <c r="B88" s="1111"/>
      <c r="C88" s="17"/>
      <c r="D88" s="17"/>
      <c r="E88" s="17"/>
      <c r="F88" s="17"/>
      <c r="G88" s="17"/>
      <c r="H88" s="17"/>
      <c r="I88" s="17"/>
      <c r="J88" s="17"/>
      <c r="K88" s="17"/>
      <c r="L88" s="17"/>
      <c r="N88" s="17"/>
      <c r="O88" s="17"/>
      <c r="P88" s="17"/>
      <c r="U88" s="52"/>
      <c r="V88" s="52"/>
      <c r="W88" s="52"/>
      <c r="X88" s="52"/>
      <c r="Y88" s="52"/>
      <c r="Z88" s="52"/>
      <c r="AA88" s="52"/>
      <c r="AB88" s="52"/>
      <c r="AC88" s="52"/>
      <c r="AD88" s="52"/>
      <c r="AE88" s="52"/>
      <c r="AF88" s="52"/>
      <c r="AG88" s="52"/>
      <c r="AH88" s="52"/>
      <c r="AI88" s="52"/>
      <c r="AJ88" s="52"/>
      <c r="AK88" s="52"/>
    </row>
    <row r="89" spans="1:37" ht="11.9" customHeight="1" x14ac:dyDescent="0.25">
      <c r="A89" s="145" t="s">
        <v>71</v>
      </c>
      <c r="B89" s="1111"/>
      <c r="C89" s="17"/>
      <c r="D89" s="17"/>
      <c r="E89" s="17"/>
      <c r="F89" s="17"/>
      <c r="G89" s="17"/>
      <c r="H89" s="17"/>
      <c r="I89" s="17"/>
      <c r="J89" s="17"/>
      <c r="K89" s="17"/>
      <c r="L89" s="17"/>
      <c r="N89" s="17"/>
      <c r="O89" s="17"/>
      <c r="P89" s="17"/>
      <c r="U89" s="52"/>
      <c r="V89" s="52"/>
      <c r="W89" s="52"/>
      <c r="X89" s="52"/>
      <c r="Y89" s="52"/>
      <c r="Z89" s="52"/>
      <c r="AA89" s="52"/>
      <c r="AB89" s="52"/>
      <c r="AC89" s="52"/>
      <c r="AD89" s="52"/>
      <c r="AE89" s="52"/>
      <c r="AF89" s="52"/>
      <c r="AG89" s="52"/>
      <c r="AH89" s="52"/>
      <c r="AI89" s="52"/>
      <c r="AJ89" s="52"/>
      <c r="AK89" s="52"/>
    </row>
    <row r="90" spans="1:37" ht="11.9" customHeight="1" x14ac:dyDescent="0.25">
      <c r="A90" s="14" t="s">
        <v>72</v>
      </c>
      <c r="B90" s="1111"/>
      <c r="C90" s="17"/>
      <c r="D90" s="17"/>
      <c r="E90" s="17"/>
      <c r="F90" s="17"/>
      <c r="G90" s="17"/>
      <c r="H90" s="17"/>
      <c r="I90" s="17"/>
      <c r="J90" s="17"/>
      <c r="K90" s="17"/>
      <c r="L90" s="17"/>
      <c r="N90" s="17"/>
      <c r="O90" s="17"/>
      <c r="P90" s="17"/>
      <c r="U90" s="52"/>
      <c r="V90" s="52"/>
      <c r="W90" s="52"/>
      <c r="X90" s="52"/>
      <c r="Y90" s="52"/>
      <c r="Z90" s="52"/>
      <c r="AA90" s="52"/>
      <c r="AB90" s="52"/>
      <c r="AC90" s="52"/>
      <c r="AD90" s="52"/>
      <c r="AE90" s="52"/>
      <c r="AF90" s="52"/>
      <c r="AG90" s="52"/>
      <c r="AH90" s="52"/>
      <c r="AI90" s="52"/>
      <c r="AJ90" s="52"/>
      <c r="AK90" s="52"/>
    </row>
    <row r="91" spans="1:37" ht="11.9" customHeight="1" thickBot="1" x14ac:dyDescent="0.3">
      <c r="A91" s="508"/>
      <c r="B91" s="246"/>
      <c r="C91" s="9"/>
      <c r="D91" s="9"/>
      <c r="E91" s="9"/>
      <c r="F91" s="9"/>
      <c r="G91" s="17"/>
      <c r="H91" s="17"/>
      <c r="I91" s="17"/>
      <c r="J91" s="17"/>
      <c r="K91" s="17"/>
      <c r="L91" s="17"/>
      <c r="N91" s="17"/>
      <c r="O91" s="17"/>
      <c r="P91" s="17"/>
      <c r="U91" s="52"/>
      <c r="V91" s="52"/>
      <c r="W91" s="52"/>
      <c r="X91" s="52"/>
      <c r="Y91" s="52"/>
      <c r="Z91" s="52"/>
      <c r="AA91" s="52"/>
      <c r="AB91" s="52"/>
      <c r="AC91" s="52"/>
      <c r="AD91" s="52"/>
      <c r="AE91" s="52"/>
      <c r="AF91" s="52"/>
      <c r="AG91" s="52"/>
      <c r="AH91" s="52"/>
      <c r="AI91" s="52"/>
      <c r="AJ91" s="52"/>
      <c r="AK91" s="52"/>
    </row>
    <row r="92" spans="1:37" ht="11.9" customHeight="1" x14ac:dyDescent="0.25">
      <c r="A92" s="1013" t="s">
        <v>73</v>
      </c>
      <c r="B92" s="1014"/>
      <c r="C92" s="1014"/>
      <c r="D92" s="1014"/>
      <c r="E92" s="1014"/>
      <c r="F92" s="1014"/>
      <c r="G92" s="1014"/>
      <c r="H92" s="1014"/>
      <c r="I92" s="1014"/>
      <c r="J92" s="1014"/>
      <c r="K92" s="1015"/>
      <c r="L92" s="1015"/>
      <c r="M92" s="1014"/>
      <c r="N92" s="1015"/>
      <c r="O92" s="1015"/>
      <c r="P92" s="1016"/>
      <c r="U92" s="52"/>
      <c r="V92" s="52"/>
      <c r="W92" s="52"/>
      <c r="X92" s="52"/>
      <c r="Y92" s="52"/>
      <c r="Z92" s="52"/>
      <c r="AA92" s="52"/>
      <c r="AB92" s="52"/>
      <c r="AC92" s="52"/>
      <c r="AD92" s="52"/>
      <c r="AE92" s="52"/>
      <c r="AF92" s="52"/>
      <c r="AG92" s="52"/>
      <c r="AH92" s="52"/>
      <c r="AI92" s="52"/>
      <c r="AJ92" s="52"/>
      <c r="AK92" s="52"/>
    </row>
    <row r="93" spans="1:37" ht="11.9" customHeight="1" x14ac:dyDescent="0.25">
      <c r="A93" s="1017" t="s">
        <v>74</v>
      </c>
      <c r="B93" s="1018"/>
      <c r="C93" s="1018"/>
      <c r="D93" s="1018"/>
      <c r="E93" s="1018"/>
      <c r="F93" s="1018"/>
      <c r="G93" s="1018"/>
      <c r="H93" s="1018"/>
      <c r="I93" s="1018"/>
      <c r="J93" s="1018"/>
      <c r="K93" s="1019"/>
      <c r="L93" s="1019"/>
      <c r="M93" s="1018"/>
      <c r="N93" s="1019"/>
      <c r="O93" s="1019"/>
      <c r="P93" s="1020"/>
      <c r="U93" s="52"/>
      <c r="V93" s="52"/>
      <c r="W93" s="52"/>
      <c r="X93" s="52"/>
      <c r="Y93" s="52"/>
      <c r="Z93" s="52"/>
      <c r="AA93" s="52"/>
      <c r="AB93" s="52"/>
      <c r="AC93" s="52"/>
      <c r="AD93" s="52"/>
      <c r="AE93" s="52"/>
      <c r="AF93" s="52"/>
      <c r="AG93" s="52"/>
      <c r="AH93" s="52"/>
      <c r="AI93" s="52"/>
      <c r="AJ93" s="52"/>
      <c r="AK93" s="52"/>
    </row>
    <row r="94" spans="1:37" ht="11.9" customHeight="1" thickBot="1" x14ac:dyDescent="0.3">
      <c r="A94" s="1028" t="s">
        <v>75</v>
      </c>
      <c r="B94" s="1022"/>
      <c r="C94" s="1022"/>
      <c r="D94" s="1022"/>
      <c r="E94" s="1022"/>
      <c r="F94" s="1022"/>
      <c r="G94" s="1022"/>
      <c r="H94" s="1022"/>
      <c r="I94" s="1022"/>
      <c r="J94" s="1022"/>
      <c r="K94" s="1023"/>
      <c r="L94" s="1023"/>
      <c r="M94" s="1022"/>
      <c r="N94" s="1023"/>
      <c r="O94" s="1023"/>
      <c r="P94" s="1024"/>
      <c r="U94" s="52"/>
      <c r="V94" s="52"/>
      <c r="W94" s="52"/>
      <c r="X94" s="52"/>
      <c r="Y94" s="52"/>
      <c r="Z94" s="52"/>
      <c r="AA94" s="52"/>
      <c r="AB94" s="52"/>
      <c r="AC94" s="52"/>
      <c r="AD94" s="52"/>
      <c r="AE94" s="52"/>
      <c r="AF94" s="52"/>
      <c r="AG94" s="52"/>
      <c r="AH94" s="52"/>
      <c r="AI94" s="52"/>
      <c r="AJ94" s="52"/>
      <c r="AK94" s="52"/>
    </row>
    <row r="95" spans="1:37" ht="11.9" customHeight="1" thickBot="1" x14ac:dyDescent="0.3">
      <c r="A95" s="54"/>
      <c r="B95" s="16"/>
      <c r="C95" s="16"/>
      <c r="D95" s="16"/>
      <c r="E95" s="16"/>
      <c r="F95" s="16"/>
      <c r="G95" s="16"/>
      <c r="H95" s="16"/>
      <c r="I95" s="16"/>
      <c r="J95" s="16"/>
      <c r="K95" s="17"/>
      <c r="L95" s="17"/>
      <c r="M95" s="17"/>
      <c r="N95" s="17"/>
      <c r="O95" s="17"/>
      <c r="P95" s="17"/>
      <c r="U95" s="52"/>
      <c r="V95" s="52"/>
      <c r="W95" s="52"/>
      <c r="X95" s="52"/>
      <c r="Y95" s="52"/>
      <c r="Z95" s="52"/>
      <c r="AA95" s="52"/>
      <c r="AB95" s="52"/>
      <c r="AC95" s="52"/>
      <c r="AD95" s="52"/>
      <c r="AE95" s="52"/>
      <c r="AF95" s="52"/>
      <c r="AG95" s="52"/>
      <c r="AH95" s="52"/>
      <c r="AI95" s="52"/>
      <c r="AJ95" s="52"/>
      <c r="AK95" s="52"/>
    </row>
    <row r="96" spans="1:37" s="80" customFormat="1" ht="14" thickBot="1" x14ac:dyDescent="0.3">
      <c r="A96" s="88" t="s">
        <v>76</v>
      </c>
      <c r="B96" s="89"/>
      <c r="C96" s="90"/>
      <c r="D96" s="90"/>
      <c r="E96" s="90"/>
      <c r="F96" s="90"/>
      <c r="G96" s="90"/>
      <c r="H96" s="90"/>
      <c r="I96" s="90"/>
      <c r="J96" s="90"/>
      <c r="K96" s="91"/>
      <c r="L96" s="91"/>
      <c r="M96" s="91"/>
      <c r="N96" s="91"/>
      <c r="O96" s="91"/>
      <c r="P96" s="92"/>
      <c r="U96" s="81"/>
      <c r="V96" s="81"/>
      <c r="W96" s="81"/>
      <c r="X96" s="81"/>
    </row>
    <row r="97" spans="1:37" ht="11.9" customHeight="1" x14ac:dyDescent="0.25">
      <c r="A97" s="57" t="s">
        <v>77</v>
      </c>
      <c r="B97" s="57"/>
      <c r="C97" s="57"/>
      <c r="D97" s="57"/>
      <c r="E97" s="57"/>
      <c r="F97" s="57"/>
      <c r="G97" s="57"/>
      <c r="H97" s="57"/>
      <c r="I97" s="57"/>
      <c r="J97" s="57"/>
      <c r="K97" s="57"/>
      <c r="L97" s="57"/>
      <c r="M97" s="57"/>
      <c r="N97" s="57"/>
      <c r="P97" s="33"/>
      <c r="Y97" s="52"/>
      <c r="Z97" s="52"/>
      <c r="AA97" s="52"/>
      <c r="AB97" s="52"/>
      <c r="AC97" s="52"/>
      <c r="AD97" s="52"/>
      <c r="AE97" s="52"/>
      <c r="AF97" s="52"/>
      <c r="AG97" s="52"/>
      <c r="AH97" s="52"/>
      <c r="AI97" s="52"/>
      <c r="AJ97" s="52"/>
      <c r="AK97" s="52"/>
    </row>
    <row r="98" spans="1:37" ht="11.9" customHeight="1" x14ac:dyDescent="0.25">
      <c r="A98" s="57" t="s">
        <v>78</v>
      </c>
      <c r="B98" s="57"/>
      <c r="C98" s="57"/>
      <c r="D98" s="57"/>
      <c r="E98" s="57"/>
      <c r="F98" s="57"/>
      <c r="G98" s="57"/>
      <c r="H98" s="57"/>
      <c r="I98" s="57"/>
      <c r="J98" s="57"/>
      <c r="K98" s="57"/>
      <c r="L98" s="57"/>
      <c r="M98" s="57"/>
      <c r="N98" s="57"/>
      <c r="P98" s="33"/>
    </row>
    <row r="99" spans="1:37" ht="11.9" customHeight="1" x14ac:dyDescent="0.25">
      <c r="A99" s="57" t="s">
        <v>79</v>
      </c>
      <c r="B99" s="57"/>
      <c r="C99" s="57"/>
      <c r="D99" s="57"/>
      <c r="E99" s="57"/>
      <c r="F99" s="57"/>
      <c r="G99" s="57"/>
      <c r="H99" s="57"/>
      <c r="I99" s="57"/>
      <c r="J99" s="57"/>
      <c r="K99" s="57"/>
      <c r="L99" s="57"/>
      <c r="M99" s="57"/>
      <c r="N99" s="57"/>
      <c r="P99" s="33"/>
    </row>
    <row r="100" spans="1:37" ht="11.9" customHeight="1" x14ac:dyDescent="0.25">
      <c r="A100" s="57" t="s">
        <v>80</v>
      </c>
      <c r="B100" s="57"/>
      <c r="C100" s="57"/>
      <c r="D100" s="57"/>
      <c r="E100" s="57"/>
      <c r="F100" s="57"/>
      <c r="G100" s="57"/>
      <c r="H100" s="57"/>
      <c r="I100" s="57"/>
      <c r="J100" s="57"/>
      <c r="K100" s="57"/>
      <c r="L100" s="57"/>
      <c r="M100" s="57"/>
      <c r="N100" s="57"/>
      <c r="P100" s="33"/>
    </row>
    <row r="101" spans="1:37" ht="11.9" customHeight="1" x14ac:dyDescent="0.25">
      <c r="A101" s="54"/>
      <c r="B101" s="16"/>
      <c r="C101" s="16"/>
      <c r="D101" s="16"/>
      <c r="E101" s="16"/>
      <c r="F101" s="16"/>
      <c r="G101" s="16"/>
      <c r="H101" s="16"/>
      <c r="I101" s="16"/>
      <c r="J101" s="16"/>
      <c r="K101" s="16"/>
      <c r="L101" s="16"/>
      <c r="M101" s="16"/>
      <c r="N101" s="16"/>
      <c r="O101" s="16"/>
      <c r="P101" s="16"/>
    </row>
    <row r="102" spans="1:37" s="80" customFormat="1" ht="13.5" x14ac:dyDescent="0.25">
      <c r="A102" s="77" t="s">
        <v>81</v>
      </c>
      <c r="B102" s="78"/>
      <c r="C102" s="78"/>
      <c r="D102" s="78"/>
      <c r="E102" s="78"/>
      <c r="F102" s="78"/>
      <c r="G102" s="78"/>
      <c r="H102" s="78"/>
      <c r="I102" s="78"/>
      <c r="J102" s="78"/>
      <c r="K102" s="78"/>
      <c r="L102" s="78"/>
      <c r="M102" s="78"/>
      <c r="N102" s="78"/>
      <c r="O102" s="78"/>
      <c r="P102" s="78"/>
      <c r="U102" s="81"/>
      <c r="V102" s="81"/>
      <c r="W102" s="81"/>
      <c r="X102" s="81"/>
      <c r="Y102" s="81"/>
      <c r="Z102" s="81"/>
      <c r="AA102" s="81"/>
      <c r="AB102" s="81"/>
      <c r="AC102" s="81"/>
      <c r="AD102" s="81"/>
      <c r="AE102" s="81"/>
      <c r="AF102" s="81"/>
      <c r="AG102" s="81"/>
      <c r="AH102" s="81"/>
      <c r="AI102" s="81"/>
      <c r="AJ102" s="81"/>
      <c r="AK102" s="81"/>
    </row>
    <row r="103" spans="1:37" s="80" customFormat="1" ht="11.9" customHeight="1" x14ac:dyDescent="0.25">
      <c r="A103" s="144" t="s">
        <v>82</v>
      </c>
      <c r="B103" s="53"/>
      <c r="C103" s="53"/>
      <c r="D103" s="53"/>
      <c r="E103" s="53"/>
      <c r="F103" s="53"/>
      <c r="G103" s="53"/>
      <c r="H103" s="53"/>
      <c r="I103" s="53"/>
      <c r="J103" s="81"/>
      <c r="K103" s="81"/>
      <c r="L103" s="81"/>
      <c r="M103" s="81"/>
      <c r="N103" s="81"/>
      <c r="O103" s="81"/>
      <c r="P103" s="81"/>
      <c r="U103" s="81"/>
      <c r="V103" s="81"/>
      <c r="W103" s="81"/>
      <c r="X103" s="81"/>
      <c r="Y103" s="81"/>
      <c r="Z103" s="81"/>
      <c r="AA103" s="81"/>
      <c r="AB103" s="81"/>
      <c r="AC103" s="81"/>
      <c r="AD103" s="81"/>
      <c r="AE103" s="81"/>
      <c r="AF103" s="81"/>
      <c r="AG103" s="81"/>
      <c r="AH103" s="81"/>
      <c r="AI103" s="81"/>
      <c r="AJ103" s="81"/>
      <c r="AK103" s="81"/>
    </row>
    <row r="104" spans="1:37" s="80" customFormat="1" ht="11.9" customHeight="1" x14ac:dyDescent="0.25">
      <c r="A104" s="145" t="s">
        <v>83</v>
      </c>
      <c r="B104" s="53"/>
      <c r="C104" s="53"/>
      <c r="D104" s="53"/>
      <c r="E104" s="53"/>
      <c r="F104" s="53"/>
      <c r="G104" s="53"/>
      <c r="H104" s="53"/>
      <c r="I104" s="53"/>
      <c r="J104" s="81"/>
      <c r="K104" s="81"/>
      <c r="L104" s="81"/>
      <c r="M104" s="81"/>
      <c r="N104" s="81"/>
      <c r="O104" s="81"/>
      <c r="P104" s="81"/>
      <c r="U104" s="81"/>
      <c r="V104" s="81"/>
      <c r="W104" s="81"/>
      <c r="X104" s="81"/>
      <c r="Y104" s="81"/>
      <c r="Z104" s="81"/>
      <c r="AA104" s="81"/>
      <c r="AB104" s="81"/>
      <c r="AC104" s="81"/>
      <c r="AD104" s="81"/>
      <c r="AE104" s="81"/>
      <c r="AF104" s="81"/>
      <c r="AG104" s="81"/>
      <c r="AH104" s="81"/>
      <c r="AI104" s="81"/>
      <c r="AJ104" s="81"/>
      <c r="AK104" s="81"/>
    </row>
    <row r="105" spans="1:37" s="80" customFormat="1" ht="11.9" customHeight="1" x14ac:dyDescent="0.25">
      <c r="A105" s="145" t="s">
        <v>84</v>
      </c>
      <c r="B105" s="53"/>
      <c r="C105" s="53"/>
      <c r="D105" s="53"/>
      <c r="E105" s="53"/>
      <c r="F105" s="53"/>
      <c r="G105" s="53"/>
      <c r="H105" s="53"/>
      <c r="I105" s="53"/>
      <c r="J105" s="81"/>
      <c r="K105" s="81"/>
      <c r="L105" s="81"/>
      <c r="M105" s="81"/>
      <c r="N105" s="81"/>
      <c r="O105" s="81"/>
      <c r="P105" s="81"/>
      <c r="U105" s="81"/>
      <c r="V105" s="81"/>
      <c r="W105" s="81"/>
      <c r="X105" s="81"/>
      <c r="Y105" s="81"/>
      <c r="Z105" s="81"/>
      <c r="AA105" s="81"/>
      <c r="AB105" s="81"/>
      <c r="AC105" s="81"/>
      <c r="AD105" s="81"/>
      <c r="AE105" s="81"/>
      <c r="AF105" s="81"/>
      <c r="AG105" s="81"/>
      <c r="AH105" s="81"/>
      <c r="AI105" s="81"/>
      <c r="AJ105" s="81"/>
      <c r="AK105" s="81"/>
    </row>
    <row r="106" spans="1:37" s="80" customFormat="1" ht="11.9" customHeight="1" x14ac:dyDescent="0.25">
      <c r="A106" s="145"/>
      <c r="B106" s="53"/>
      <c r="C106" s="53"/>
      <c r="D106" s="53"/>
      <c r="E106" s="53"/>
      <c r="F106" s="53"/>
      <c r="G106" s="53"/>
      <c r="H106" s="53"/>
      <c r="I106" s="53"/>
      <c r="J106" s="81"/>
      <c r="K106" s="81"/>
      <c r="L106" s="81"/>
      <c r="M106" s="81"/>
      <c r="N106" s="81"/>
      <c r="O106" s="81"/>
      <c r="P106" s="81"/>
      <c r="U106" s="81"/>
      <c r="V106" s="81"/>
      <c r="W106" s="81"/>
      <c r="X106" s="81"/>
      <c r="Y106" s="81"/>
      <c r="Z106" s="81"/>
      <c r="AA106" s="81"/>
      <c r="AB106" s="81"/>
      <c r="AC106" s="81"/>
      <c r="AD106" s="81"/>
      <c r="AE106" s="81"/>
      <c r="AF106" s="81"/>
      <c r="AG106" s="81"/>
      <c r="AH106" s="81"/>
      <c r="AI106" s="81"/>
      <c r="AJ106" s="81"/>
      <c r="AK106" s="81"/>
    </row>
    <row r="107" spans="1:37" s="80" customFormat="1" ht="11.9" customHeight="1" x14ac:dyDescent="0.25">
      <c r="A107" s="146" t="s">
        <v>85</v>
      </c>
      <c r="B107" s="52"/>
      <c r="C107" s="52"/>
      <c r="D107" s="53"/>
      <c r="E107" s="53"/>
      <c r="F107" s="53"/>
      <c r="G107" s="53"/>
      <c r="H107" s="53"/>
      <c r="I107" s="53"/>
      <c r="J107" s="81"/>
      <c r="K107" s="81"/>
      <c r="L107" s="81"/>
      <c r="M107" s="81"/>
      <c r="N107" s="81"/>
      <c r="O107" s="81"/>
      <c r="P107" s="81"/>
      <c r="U107" s="81"/>
      <c r="V107" s="81"/>
      <c r="W107" s="81"/>
      <c r="X107" s="81"/>
      <c r="Y107" s="81"/>
      <c r="Z107" s="81"/>
      <c r="AA107" s="81"/>
      <c r="AB107" s="81"/>
      <c r="AC107" s="81"/>
      <c r="AD107" s="81"/>
      <c r="AE107" s="81"/>
      <c r="AF107" s="81"/>
      <c r="AG107" s="81"/>
      <c r="AH107" s="81"/>
      <c r="AI107" s="81"/>
      <c r="AJ107" s="81"/>
      <c r="AK107" s="81"/>
    </row>
    <row r="108" spans="1:37" s="80" customFormat="1" ht="11.9" customHeight="1" x14ac:dyDescent="0.25">
      <c r="A108" s="145" t="s">
        <v>86</v>
      </c>
      <c r="B108" s="355"/>
      <c r="C108" s="355"/>
      <c r="D108"/>
      <c r="E108"/>
      <c r="F108"/>
      <c r="G108"/>
      <c r="H108"/>
      <c r="I108"/>
      <c r="J108"/>
      <c r="K108"/>
      <c r="L108"/>
      <c r="M108"/>
      <c r="N108" s="81"/>
      <c r="O108" s="81"/>
      <c r="P108" s="81"/>
      <c r="U108" s="81"/>
      <c r="V108" s="81"/>
      <c r="W108" s="81"/>
      <c r="X108" s="81"/>
      <c r="Y108" s="81"/>
      <c r="Z108" s="81"/>
      <c r="AA108" s="81"/>
      <c r="AB108" s="81"/>
      <c r="AC108" s="81"/>
      <c r="AD108" s="81"/>
      <c r="AE108" s="81"/>
      <c r="AF108" s="81"/>
      <c r="AG108" s="81"/>
      <c r="AH108" s="81"/>
      <c r="AI108" s="81"/>
      <c r="AJ108" s="81"/>
      <c r="AK108" s="81"/>
    </row>
    <row r="109" spans="1:37" s="80" customFormat="1" ht="11.9" customHeight="1" x14ac:dyDescent="0.25">
      <c r="A109" s="146" t="s">
        <v>87</v>
      </c>
      <c r="B109" s="52"/>
      <c r="C109" s="52"/>
      <c r="D109" s="53"/>
      <c r="E109" s="53"/>
      <c r="F109" s="53"/>
      <c r="G109" s="53"/>
      <c r="H109" s="53"/>
      <c r="I109" s="53"/>
      <c r="J109" s="81"/>
      <c r="K109" s="81"/>
      <c r="L109" s="81"/>
      <c r="M109" s="81"/>
      <c r="N109" s="81"/>
      <c r="O109" s="81"/>
      <c r="P109" s="81"/>
      <c r="U109" s="81"/>
      <c r="V109" s="81"/>
      <c r="W109" s="81"/>
      <c r="X109" s="81"/>
      <c r="Y109" s="81"/>
      <c r="Z109" s="81"/>
      <c r="AA109" s="81"/>
      <c r="AB109" s="81"/>
      <c r="AC109" s="81"/>
      <c r="AD109" s="81"/>
      <c r="AE109" s="81"/>
      <c r="AF109" s="81"/>
      <c r="AG109" s="81"/>
      <c r="AH109" s="81"/>
      <c r="AI109" s="81"/>
      <c r="AJ109" s="81"/>
      <c r="AK109" s="81"/>
    </row>
    <row r="110" spans="1:37" s="80" customFormat="1" ht="11.9" customHeight="1" x14ac:dyDescent="0.25">
      <c r="A110" s="145" t="s">
        <v>88</v>
      </c>
      <c r="B110" s="355"/>
      <c r="C110" s="355"/>
      <c r="D110"/>
      <c r="E110"/>
      <c r="F110"/>
      <c r="G110"/>
      <c r="H110"/>
      <c r="I110"/>
      <c r="J110"/>
      <c r="K110"/>
      <c r="L110"/>
      <c r="M110"/>
      <c r="N110"/>
      <c r="O110"/>
      <c r="P110"/>
      <c r="U110" s="81"/>
      <c r="V110" s="81"/>
      <c r="W110" s="81"/>
      <c r="X110" s="81"/>
      <c r="Y110" s="81"/>
      <c r="Z110" s="81"/>
      <c r="AA110" s="81"/>
      <c r="AB110" s="81"/>
      <c r="AC110" s="81"/>
      <c r="AD110" s="81"/>
      <c r="AE110" s="81"/>
      <c r="AF110" s="81"/>
      <c r="AG110" s="81"/>
      <c r="AH110" s="81"/>
      <c r="AI110" s="81"/>
      <c r="AJ110" s="81"/>
      <c r="AK110" s="81"/>
    </row>
    <row r="111" spans="1:37" s="80" customFormat="1" ht="11.9" customHeight="1" x14ac:dyDescent="0.25">
      <c r="A111" s="146" t="s">
        <v>89</v>
      </c>
      <c r="B111" s="52"/>
      <c r="C111" s="52"/>
      <c r="D111" s="53"/>
      <c r="E111" s="53"/>
      <c r="F111" s="53"/>
      <c r="G111" s="53"/>
      <c r="H111" s="53"/>
      <c r="I111" s="53"/>
      <c r="J111" s="81"/>
      <c r="K111" s="81"/>
      <c r="L111" s="81"/>
      <c r="M111" s="81"/>
      <c r="N111" s="81"/>
      <c r="O111" s="81"/>
      <c r="P111" s="81"/>
      <c r="U111" s="81"/>
      <c r="V111" s="81"/>
      <c r="W111" s="81"/>
      <c r="X111" s="81"/>
      <c r="Y111" s="81"/>
      <c r="Z111" s="81"/>
      <c r="AA111" s="81"/>
      <c r="AB111" s="81"/>
      <c r="AC111" s="81"/>
      <c r="AD111" s="81"/>
      <c r="AE111" s="81"/>
      <c r="AF111" s="81"/>
      <c r="AG111" s="81"/>
      <c r="AH111" s="81"/>
      <c r="AI111" s="81"/>
      <c r="AJ111" s="81"/>
      <c r="AK111" s="81"/>
    </row>
    <row r="112" spans="1:37" s="80" customFormat="1" ht="11.9" customHeight="1" x14ac:dyDescent="0.25">
      <c r="A112" s="145" t="s">
        <v>90</v>
      </c>
      <c r="B112" s="355"/>
      <c r="C112" s="355"/>
      <c r="D112"/>
      <c r="E112"/>
      <c r="F112"/>
      <c r="G112"/>
      <c r="H112"/>
      <c r="I112"/>
      <c r="J112"/>
      <c r="K112"/>
      <c r="L112"/>
      <c r="M112"/>
      <c r="N112"/>
      <c r="O112" s="81"/>
      <c r="P112" s="81"/>
      <c r="U112" s="81"/>
      <c r="V112" s="81"/>
      <c r="W112" s="81"/>
      <c r="X112" s="81"/>
      <c r="Y112" s="81"/>
      <c r="Z112" s="81"/>
      <c r="AA112" s="81"/>
      <c r="AB112" s="81"/>
      <c r="AC112" s="81"/>
      <c r="AD112" s="81"/>
      <c r="AE112" s="81"/>
      <c r="AF112" s="81"/>
      <c r="AG112" s="81"/>
      <c r="AH112" s="81"/>
      <c r="AI112" s="81"/>
      <c r="AJ112" s="81"/>
      <c r="AK112" s="81"/>
    </row>
    <row r="113" spans="1:37" s="80" customFormat="1" ht="11.9" customHeight="1" x14ac:dyDescent="0.25">
      <c r="A113" s="145" t="s">
        <v>91</v>
      </c>
      <c r="B113" s="355"/>
      <c r="C113" s="355"/>
      <c r="D113"/>
      <c r="E113"/>
      <c r="F113"/>
      <c r="G113"/>
      <c r="H113"/>
      <c r="I113"/>
      <c r="J113"/>
      <c r="K113"/>
      <c r="L113"/>
      <c r="M113"/>
      <c r="N113"/>
      <c r="O113"/>
      <c r="P113"/>
      <c r="U113" s="81"/>
      <c r="V113" s="81"/>
      <c r="W113" s="81"/>
      <c r="X113" s="81"/>
      <c r="Y113" s="81"/>
      <c r="Z113" s="81"/>
      <c r="AA113" s="81"/>
      <c r="AB113" s="81"/>
      <c r="AC113" s="81"/>
      <c r="AD113" s="81"/>
      <c r="AE113" s="81"/>
      <c r="AF113" s="81"/>
      <c r="AG113" s="81"/>
      <c r="AH113" s="81"/>
      <c r="AI113" s="81"/>
      <c r="AJ113" s="81"/>
      <c r="AK113" s="81"/>
    </row>
    <row r="114" spans="1:37" s="80" customFormat="1" ht="11.9" customHeight="1" x14ac:dyDescent="0.25">
      <c r="A114" s="146" t="s">
        <v>92</v>
      </c>
      <c r="B114" s="52"/>
      <c r="C114" s="52"/>
      <c r="D114" s="53"/>
      <c r="E114" s="53"/>
      <c r="F114" s="53"/>
      <c r="G114" s="53"/>
      <c r="H114" s="53"/>
      <c r="I114" s="53"/>
      <c r="J114" s="81"/>
      <c r="K114" s="81"/>
      <c r="L114" s="81"/>
      <c r="M114" s="81"/>
      <c r="N114" s="81"/>
      <c r="O114" s="81"/>
      <c r="P114" s="81"/>
      <c r="U114" s="81"/>
      <c r="V114" s="81"/>
      <c r="W114" s="81"/>
      <c r="X114" s="81"/>
      <c r="Y114" s="81"/>
      <c r="Z114" s="81"/>
      <c r="AA114" s="81"/>
      <c r="AB114" s="81"/>
      <c r="AC114" s="81"/>
      <c r="AD114" s="81"/>
      <c r="AE114" s="81"/>
      <c r="AF114" s="81"/>
      <c r="AG114" s="81"/>
      <c r="AH114" s="81"/>
      <c r="AI114" s="81"/>
      <c r="AJ114" s="81"/>
      <c r="AK114" s="81"/>
    </row>
    <row r="115" spans="1:37" s="80" customFormat="1" ht="11.9" customHeight="1" x14ac:dyDescent="0.25">
      <c r="A115" s="145"/>
      <c r="B115" s="53"/>
      <c r="C115" s="53"/>
      <c r="D115" s="53"/>
      <c r="E115" s="53"/>
      <c r="F115" s="53"/>
      <c r="G115" s="53"/>
      <c r="H115" s="53"/>
      <c r="I115" s="53"/>
      <c r="J115" s="81"/>
      <c r="K115" s="81"/>
      <c r="L115" s="81"/>
      <c r="M115" s="81"/>
      <c r="N115" s="81"/>
      <c r="O115" s="81"/>
      <c r="P115" s="81"/>
      <c r="U115" s="81"/>
      <c r="V115" s="81"/>
      <c r="W115" s="81"/>
      <c r="X115" s="81"/>
      <c r="Y115" s="81"/>
      <c r="Z115" s="81"/>
      <c r="AA115" s="81"/>
      <c r="AB115" s="81"/>
      <c r="AC115" s="81"/>
      <c r="AD115" s="81"/>
      <c r="AE115" s="81"/>
      <c r="AF115" s="81"/>
      <c r="AG115" s="81"/>
      <c r="AH115" s="81"/>
      <c r="AI115" s="81"/>
      <c r="AJ115" s="81"/>
      <c r="AK115" s="81"/>
    </row>
    <row r="116" spans="1:37" s="80" customFormat="1" ht="11.9" customHeight="1" x14ac:dyDescent="0.25">
      <c r="A116" s="145" t="s">
        <v>93</v>
      </c>
      <c r="B116" s="14"/>
      <c r="C116" s="14"/>
      <c r="D116" s="14"/>
      <c r="E116" s="14"/>
      <c r="F116" s="14"/>
      <c r="G116" s="14"/>
      <c r="H116" s="53"/>
      <c r="I116" s="53"/>
      <c r="J116" s="81"/>
      <c r="K116" s="81"/>
      <c r="L116" s="81"/>
      <c r="M116" s="81"/>
      <c r="N116" s="81"/>
      <c r="O116" s="81"/>
      <c r="P116" s="81"/>
      <c r="U116" s="81"/>
      <c r="V116" s="81"/>
      <c r="W116" s="81"/>
      <c r="X116" s="81"/>
      <c r="Y116" s="81"/>
      <c r="Z116" s="81"/>
      <c r="AA116" s="81"/>
      <c r="AB116" s="81"/>
      <c r="AC116" s="81"/>
      <c r="AD116" s="81"/>
      <c r="AE116" s="81"/>
      <c r="AF116" s="81"/>
      <c r="AG116" s="81"/>
      <c r="AH116" s="81"/>
      <c r="AI116" s="81"/>
      <c r="AJ116" s="81"/>
      <c r="AK116" s="81"/>
    </row>
    <row r="117" spans="1:37" s="80" customFormat="1" ht="11.9" customHeight="1" x14ac:dyDescent="0.25">
      <c r="A117" s="145" t="s">
        <v>94</v>
      </c>
      <c r="B117" s="14"/>
      <c r="C117" s="14"/>
      <c r="D117" s="14"/>
      <c r="E117" s="14"/>
      <c r="F117" s="14"/>
      <c r="G117" s="14"/>
      <c r="H117" s="53"/>
      <c r="I117" s="53"/>
      <c r="J117" s="81"/>
      <c r="K117" s="81"/>
      <c r="L117" s="81"/>
      <c r="M117" s="81"/>
      <c r="N117" s="81"/>
      <c r="O117" s="81"/>
      <c r="P117" s="81"/>
      <c r="U117" s="81"/>
      <c r="V117" s="81"/>
      <c r="W117" s="81"/>
      <c r="X117" s="81"/>
      <c r="Y117" s="81"/>
      <c r="Z117" s="81"/>
      <c r="AA117" s="81"/>
      <c r="AB117" s="81"/>
      <c r="AC117" s="81"/>
      <c r="AD117" s="81"/>
      <c r="AE117" s="81"/>
      <c r="AF117" s="81"/>
      <c r="AG117" s="81"/>
      <c r="AH117" s="81"/>
      <c r="AI117" s="81"/>
      <c r="AJ117" s="81"/>
      <c r="AK117" s="81"/>
    </row>
    <row r="118" spans="1:37" s="80" customFormat="1" ht="11.9" customHeight="1" x14ac:dyDescent="0.25">
      <c r="A118" s="145"/>
      <c r="B118" s="14"/>
      <c r="C118" s="14"/>
      <c r="D118" s="14"/>
      <c r="E118" s="14"/>
      <c r="F118" s="14"/>
      <c r="G118" s="14"/>
      <c r="H118" s="53"/>
      <c r="I118" s="53"/>
      <c r="J118" s="81"/>
      <c r="K118" s="81"/>
      <c r="L118" s="81"/>
      <c r="M118" s="81"/>
      <c r="N118" s="81"/>
      <c r="O118" s="81"/>
      <c r="P118" s="81"/>
      <c r="U118" s="81"/>
      <c r="V118" s="81"/>
      <c r="W118" s="81"/>
      <c r="X118" s="81"/>
      <c r="Y118" s="81"/>
      <c r="Z118" s="81"/>
      <c r="AA118" s="81"/>
      <c r="AB118" s="81"/>
      <c r="AC118" s="81"/>
      <c r="AD118" s="81"/>
      <c r="AE118" s="81"/>
      <c r="AF118" s="81"/>
      <c r="AG118" s="81"/>
      <c r="AH118" s="81"/>
      <c r="AI118" s="81"/>
      <c r="AJ118" s="81"/>
      <c r="AK118" s="81"/>
    </row>
    <row r="119" spans="1:37" ht="11.9" customHeight="1" x14ac:dyDescent="0.25">
      <c r="A119" s="1130" t="s">
        <v>95</v>
      </c>
      <c r="B119" s="1134"/>
      <c r="C119" s="1134"/>
      <c r="D119" s="1134"/>
      <c r="E119" s="1134"/>
      <c r="F119" s="14"/>
      <c r="G119" s="14"/>
      <c r="H119" s="14"/>
      <c r="I119" s="14"/>
      <c r="J119" s="14"/>
      <c r="K119" s="14"/>
      <c r="L119" s="14"/>
      <c r="M119" s="14"/>
      <c r="N119" s="14"/>
      <c r="O119" s="14"/>
      <c r="P119" s="14"/>
    </row>
    <row r="120" spans="1:37" ht="11.9" customHeight="1" x14ac:dyDescent="0.25">
      <c r="A120" s="145" t="s">
        <v>96</v>
      </c>
      <c r="B120" s="14"/>
      <c r="C120" s="14"/>
      <c r="D120" s="14"/>
      <c r="E120" s="14"/>
      <c r="F120" s="14"/>
      <c r="G120" s="14"/>
      <c r="H120" s="14"/>
      <c r="I120" s="14"/>
      <c r="J120" s="14"/>
      <c r="K120" s="14"/>
      <c r="L120" s="14"/>
      <c r="M120" s="14"/>
      <c r="N120" s="14"/>
      <c r="O120" s="14"/>
      <c r="P120" s="14"/>
    </row>
    <row r="121" spans="1:37" ht="11.9" customHeight="1" x14ac:dyDescent="0.25">
      <c r="A121" s="14"/>
      <c r="B121" s="14"/>
      <c r="C121" s="14"/>
      <c r="D121" s="14"/>
      <c r="E121" s="14"/>
      <c r="F121" s="14"/>
      <c r="G121" s="14"/>
      <c r="H121" s="14"/>
      <c r="I121" s="14"/>
      <c r="J121" s="14"/>
      <c r="K121" s="14"/>
      <c r="L121" s="14"/>
      <c r="M121" s="14"/>
      <c r="N121" s="14"/>
      <c r="O121" s="14"/>
      <c r="P121" s="14"/>
    </row>
    <row r="122" spans="1:37" s="80" customFormat="1" ht="13.5" x14ac:dyDescent="0.25">
      <c r="A122" s="93" t="s">
        <v>97</v>
      </c>
      <c r="B122" s="94"/>
      <c r="C122" s="94"/>
      <c r="D122" s="94"/>
      <c r="E122" s="94"/>
      <c r="F122" s="94"/>
      <c r="G122" s="94"/>
      <c r="H122" s="94"/>
      <c r="I122" s="94"/>
      <c r="J122" s="94"/>
      <c r="K122" s="94"/>
      <c r="L122" s="94"/>
      <c r="M122" s="94"/>
      <c r="N122" s="94"/>
      <c r="O122" s="94"/>
      <c r="P122" s="94"/>
      <c r="U122" s="81"/>
      <c r="V122" s="81"/>
      <c r="W122" s="81"/>
      <c r="X122" s="81"/>
      <c r="Y122" s="81"/>
      <c r="Z122" s="81"/>
      <c r="AA122" s="81"/>
      <c r="AB122" s="81"/>
      <c r="AC122" s="81"/>
      <c r="AD122" s="81"/>
      <c r="AE122" s="81"/>
      <c r="AF122" s="81"/>
      <c r="AG122" s="81"/>
      <c r="AH122" s="81"/>
      <c r="AI122" s="81"/>
      <c r="AJ122" s="81"/>
      <c r="AK122" s="81"/>
    </row>
    <row r="123" spans="1:37" ht="11.9" customHeight="1" x14ac:dyDescent="0.25">
      <c r="A123" s="867" t="s">
        <v>98</v>
      </c>
      <c r="B123" s="867"/>
      <c r="C123" s="867"/>
      <c r="D123" s="867"/>
      <c r="E123" s="867"/>
      <c r="F123" s="867"/>
      <c r="G123" s="1129"/>
      <c r="H123" s="867"/>
      <c r="I123" s="867"/>
      <c r="J123" s="867"/>
      <c r="K123" s="867"/>
      <c r="L123" s="867"/>
      <c r="M123" s="867"/>
      <c r="N123" s="867"/>
      <c r="O123" s="867"/>
      <c r="P123" s="867"/>
    </row>
    <row r="124" spans="1:37" ht="11.9" customHeight="1" x14ac:dyDescent="0.25">
      <c r="A124" s="867" t="s">
        <v>99</v>
      </c>
      <c r="B124" s="867"/>
      <c r="C124" s="867"/>
      <c r="D124" s="867"/>
      <c r="E124" s="867"/>
      <c r="G124" s="1130" t="s">
        <v>100</v>
      </c>
      <c r="H124" s="1120"/>
      <c r="I124" s="1120"/>
      <c r="J124" s="1120"/>
      <c r="K124" s="1120"/>
      <c r="L124" s="1120"/>
      <c r="M124" s="1120"/>
      <c r="N124" s="1120"/>
      <c r="O124" s="1120"/>
      <c r="P124" s="1120"/>
    </row>
    <row r="125" spans="1:37" ht="11.9" customHeight="1" x14ac:dyDescent="0.25">
      <c r="A125" s="867" t="s">
        <v>101</v>
      </c>
      <c r="B125" s="867"/>
      <c r="C125" s="867"/>
      <c r="D125" s="867"/>
      <c r="E125" s="867"/>
      <c r="F125" s="867"/>
      <c r="G125" s="1131" t="s">
        <v>102</v>
      </c>
      <c r="H125" s="1121"/>
      <c r="I125" s="1121"/>
      <c r="J125" s="1121"/>
      <c r="K125" s="1121"/>
      <c r="L125" s="1121"/>
      <c r="M125" s="1121"/>
      <c r="N125" s="1121"/>
      <c r="O125" s="1121"/>
      <c r="P125" s="1121"/>
    </row>
    <row r="126" spans="1:37" ht="11.9" customHeight="1" x14ac:dyDescent="0.25">
      <c r="A126" s="867" t="s">
        <v>103</v>
      </c>
      <c r="B126" s="867"/>
      <c r="C126" s="867"/>
      <c r="D126" s="867"/>
      <c r="E126" s="867"/>
      <c r="F126" s="867"/>
      <c r="G126" s="1132" t="s">
        <v>104</v>
      </c>
      <c r="H126" s="1121"/>
      <c r="I126" s="1121"/>
      <c r="J126" s="1121"/>
      <c r="K126" s="1121"/>
      <c r="L126" s="1121"/>
      <c r="M126" s="1121"/>
      <c r="N126" s="1121"/>
      <c r="O126" s="1121"/>
      <c r="P126" s="1121"/>
    </row>
    <row r="127" spans="1:37" ht="11.9" customHeight="1" x14ac:dyDescent="0.25">
      <c r="A127" s="867" t="s">
        <v>105</v>
      </c>
      <c r="B127" s="867"/>
      <c r="C127" s="867"/>
      <c r="D127" s="867"/>
      <c r="E127" s="867"/>
      <c r="F127" s="867"/>
      <c r="G127" s="1133" t="s">
        <v>106</v>
      </c>
      <c r="H127" s="1120"/>
      <c r="I127" s="1120"/>
      <c r="J127" s="1120"/>
      <c r="K127" s="1120"/>
      <c r="L127" s="1120"/>
      <c r="M127" s="1120"/>
      <c r="N127" s="1120"/>
      <c r="O127" s="1120"/>
      <c r="P127" s="1120"/>
    </row>
    <row r="128" spans="1:37" ht="11.9" customHeight="1" x14ac:dyDescent="0.25">
      <c r="A128" s="867" t="s">
        <v>107</v>
      </c>
      <c r="B128" s="867"/>
      <c r="C128" s="867" t="s">
        <v>108</v>
      </c>
      <c r="D128" s="867"/>
      <c r="E128" s="867"/>
      <c r="F128" s="867"/>
      <c r="G128" s="1132" t="s">
        <v>109</v>
      </c>
      <c r="H128" s="1121"/>
      <c r="I128" s="1121"/>
      <c r="J128" s="1121"/>
      <c r="K128" s="1121"/>
      <c r="L128" s="1121"/>
      <c r="M128" s="1121"/>
      <c r="N128" s="1121"/>
      <c r="O128" s="1121"/>
      <c r="P128" s="1121"/>
    </row>
    <row r="129" spans="1:16" ht="11.9" customHeight="1" x14ac:dyDescent="0.25">
      <c r="A129" s="867"/>
      <c r="B129" s="867"/>
      <c r="C129" s="867" t="s">
        <v>110</v>
      </c>
      <c r="D129" s="867"/>
      <c r="E129" s="867"/>
      <c r="F129" s="867"/>
      <c r="G129" s="1129" t="s">
        <v>111</v>
      </c>
      <c r="H129" s="1120"/>
      <c r="I129" s="1120"/>
      <c r="J129" s="1120"/>
      <c r="K129" s="1120"/>
      <c r="L129" s="1120"/>
      <c r="M129" s="1120"/>
      <c r="N129" s="1120"/>
      <c r="O129" s="1120"/>
      <c r="P129" s="1120"/>
    </row>
    <row r="130" spans="1:16" ht="13.5" x14ac:dyDescent="0.25">
      <c r="A130" s="93"/>
      <c r="B130" s="94"/>
      <c r="C130" s="94"/>
      <c r="D130" s="94"/>
      <c r="E130" s="94"/>
      <c r="F130" s="94"/>
      <c r="G130" s="94"/>
      <c r="H130" s="94"/>
      <c r="I130" s="94"/>
      <c r="J130" s="94"/>
      <c r="K130" s="94"/>
      <c r="L130" s="94"/>
      <c r="M130" s="94"/>
      <c r="N130" s="94"/>
      <c r="O130" s="94"/>
      <c r="P130" s="94"/>
    </row>
  </sheetData>
  <sheetProtection algorithmName="SHA-512" hashValue="3oTc3iyfibBpoJbvtFhHQcdyaFmAxLPsuPx/sVnd7O9QIalwiq+uS9EhfUYEtEa2V8YOG7+QDqPo3qf1xzKPLg==" saltValue="e6lqFYuyUi1nf/5gE9dv4w==" spinCount="100000" sheet="1" formatColumns="0" formatRows="0"/>
  <phoneticPr fontId="6" type="noConversion"/>
  <hyperlinks>
    <hyperlink ref="G127" r:id="rId1" xr:uid="{00000000-0004-0000-0000-000001000000}"/>
    <hyperlink ref="A119" r:id="rId2" display="https://www.rvo.nl/onderwerpen/subsidiespelregels/ezk/financiering" xr:uid="{00000000-0004-0000-0000-000002000000}"/>
    <hyperlink ref="G124" r:id="rId3" display="http://www.rvo.nl/wis" xr:uid="{59547464-BF74-4640-8412-B972A980702B}"/>
    <hyperlink ref="G126" r:id="rId4" xr:uid="{260D96CB-CBFA-4A67-AF4E-6794B52646A3}"/>
    <hyperlink ref="G125" r:id="rId5" display="https://eur-lex.europa.eu/legal-content/NL/TXT/PDF/?uri=CELEX:02014R0651-20230701" xr:uid="{1B89FCFB-4C15-4D5C-B1D4-03B01D132ACB}"/>
    <hyperlink ref="G128" r:id="rId6" xr:uid="{5AE9D20D-1141-4457-8ED4-8D63B4E2F376}"/>
  </hyperlinks>
  <pageMargins left="0.25" right="0.25" top="0.75" bottom="0.75" header="0.3" footer="0.3"/>
  <pageSetup paperSize="9" scale="46" orientation="portrait" r:id="rId7"/>
  <headerFooter alignWithMargins="0"/>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9">
    <tabColor rgb="FF00B0F0"/>
    <pageSetUpPr fitToPage="1"/>
  </sheetPr>
  <dimension ref="A1:AM129"/>
  <sheetViews>
    <sheetView showGridLines="0" zoomScaleNormal="100" zoomScaleSheetLayoutView="100" workbookViewId="0"/>
  </sheetViews>
  <sheetFormatPr defaultColWidth="9.26953125" defaultRowHeight="11.5" x14ac:dyDescent="0.25"/>
  <cols>
    <col min="1" max="1" width="7.453125" style="59" customWidth="1"/>
    <col min="2" max="5" width="9.26953125" style="17"/>
    <col min="6" max="6" width="10.453125" style="17" bestFit="1" customWidth="1"/>
    <col min="7" max="17" width="9.26953125" style="17"/>
    <col min="18" max="18" width="3.26953125" style="17" customWidth="1"/>
    <col min="19" max="16384" width="9.26953125" style="17"/>
  </cols>
  <sheetData>
    <row r="1" spans="1:39" ht="100.5" customHeight="1" x14ac:dyDescent="0.25">
      <c r="A1" s="10"/>
      <c r="B1" s="9"/>
      <c r="C1" s="10"/>
      <c r="D1" s="9"/>
      <c r="E1" s="9"/>
      <c r="F1" s="9"/>
      <c r="G1" s="9"/>
      <c r="H1" s="9"/>
      <c r="I1" s="9"/>
      <c r="J1" s="9"/>
      <c r="K1" s="9"/>
      <c r="L1" s="9"/>
      <c r="M1" s="9"/>
      <c r="N1" s="9"/>
      <c r="O1" s="9"/>
      <c r="P1" s="9"/>
      <c r="Q1" s="9"/>
      <c r="W1" s="18"/>
      <c r="X1" s="18"/>
      <c r="Y1" s="18"/>
      <c r="Z1" s="18"/>
      <c r="AA1" s="18"/>
      <c r="AB1" s="18"/>
      <c r="AC1" s="18"/>
      <c r="AD1" s="18"/>
      <c r="AE1" s="18"/>
      <c r="AF1" s="18"/>
      <c r="AG1" s="18"/>
      <c r="AH1" s="18"/>
      <c r="AI1" s="18"/>
      <c r="AJ1" s="18"/>
      <c r="AK1" s="18"/>
      <c r="AL1" s="18"/>
      <c r="AM1" s="18"/>
    </row>
    <row r="2" spans="1:39" ht="17.5" x14ac:dyDescent="0.35">
      <c r="A2" s="250" t="s">
        <v>112</v>
      </c>
      <c r="B2" s="9"/>
      <c r="C2" s="15"/>
      <c r="D2" s="9"/>
      <c r="E2" s="9"/>
      <c r="F2" s="9"/>
      <c r="G2" s="9"/>
      <c r="H2" s="9"/>
      <c r="I2" s="11"/>
      <c r="J2" s="11"/>
      <c r="K2" s="9"/>
      <c r="L2" s="9"/>
      <c r="M2" s="9"/>
      <c r="N2" s="9"/>
      <c r="O2" s="9"/>
      <c r="P2" s="9"/>
      <c r="Q2" s="9"/>
      <c r="W2" s="18"/>
      <c r="X2" s="18"/>
      <c r="Y2" s="18"/>
      <c r="Z2" s="18"/>
      <c r="AA2" s="18"/>
      <c r="AB2" s="18"/>
      <c r="AC2" s="18"/>
      <c r="AD2" s="18"/>
      <c r="AE2" s="18"/>
      <c r="AF2" s="18"/>
      <c r="AG2" s="18"/>
      <c r="AH2" s="18"/>
      <c r="AI2" s="18"/>
      <c r="AJ2" s="18"/>
      <c r="AK2" s="18"/>
      <c r="AL2" s="18"/>
      <c r="AM2" s="18"/>
    </row>
    <row r="3" spans="1:39" ht="18.5" x14ac:dyDescent="0.25">
      <c r="A3" s="154" t="s">
        <v>113</v>
      </c>
      <c r="B3" s="10"/>
      <c r="C3" s="15"/>
      <c r="D3" s="9"/>
      <c r="E3" s="9"/>
      <c r="F3" s="9"/>
      <c r="G3" s="9"/>
      <c r="H3" s="9"/>
      <c r="I3" s="11"/>
      <c r="J3" s="11"/>
      <c r="K3" s="9"/>
      <c r="L3" s="9"/>
      <c r="M3" s="9"/>
      <c r="N3" s="9"/>
      <c r="O3" s="9"/>
      <c r="P3" s="9"/>
      <c r="Q3" s="9"/>
      <c r="W3" s="18"/>
      <c r="X3" s="18"/>
      <c r="Y3" s="18"/>
      <c r="Z3" s="18"/>
      <c r="AA3" s="18"/>
      <c r="AB3" s="18"/>
      <c r="AC3" s="18"/>
      <c r="AD3" s="18"/>
      <c r="AE3" s="18"/>
      <c r="AF3" s="18"/>
      <c r="AG3" s="18"/>
      <c r="AH3" s="18"/>
      <c r="AI3" s="18"/>
      <c r="AJ3" s="18"/>
      <c r="AK3" s="18"/>
      <c r="AL3" s="18"/>
      <c r="AM3" s="18"/>
    </row>
    <row r="4" spans="1:39" ht="15" x14ac:dyDescent="0.3">
      <c r="A4" s="103"/>
      <c r="B4" s="9"/>
      <c r="C4" s="9"/>
      <c r="D4" s="9"/>
      <c r="E4" s="9"/>
      <c r="F4" s="9"/>
      <c r="G4" s="9"/>
      <c r="H4" s="9"/>
      <c r="I4" s="9"/>
      <c r="J4" s="9"/>
      <c r="K4" s="9"/>
      <c r="L4" s="9"/>
      <c r="M4" s="9"/>
      <c r="N4" s="9"/>
      <c r="O4" s="9"/>
      <c r="P4" s="9"/>
      <c r="Q4" s="9"/>
    </row>
    <row r="5" spans="1:39" s="96" customFormat="1" ht="13.5" x14ac:dyDescent="0.25">
      <c r="A5" s="104" t="s">
        <v>114</v>
      </c>
      <c r="B5" s="97"/>
      <c r="C5" s="97"/>
      <c r="D5" s="97"/>
      <c r="E5" s="97"/>
      <c r="F5" s="97"/>
      <c r="G5" s="97"/>
      <c r="H5" s="97"/>
      <c r="I5" s="97"/>
      <c r="J5" s="97"/>
      <c r="K5" s="97"/>
      <c r="L5" s="97"/>
      <c r="M5" s="97"/>
      <c r="N5" s="97"/>
      <c r="O5" s="97"/>
      <c r="P5" s="97"/>
      <c r="Q5" s="97"/>
      <c r="W5" s="98"/>
      <c r="X5" s="98"/>
      <c r="Y5" s="98"/>
      <c r="Z5" s="98"/>
      <c r="AA5" s="98"/>
      <c r="AB5" s="98"/>
      <c r="AC5" s="98"/>
      <c r="AD5" s="98"/>
      <c r="AE5" s="98"/>
      <c r="AF5" s="98"/>
      <c r="AG5" s="98"/>
      <c r="AH5" s="98"/>
      <c r="AI5" s="98"/>
      <c r="AJ5" s="98"/>
      <c r="AK5" s="98"/>
      <c r="AL5" s="98"/>
      <c r="AM5" s="98"/>
    </row>
    <row r="6" spans="1:39" ht="11.9" customHeight="1" x14ac:dyDescent="0.25">
      <c r="A6" s="105" t="s">
        <v>115</v>
      </c>
      <c r="B6" s="9"/>
      <c r="C6" s="9"/>
      <c r="D6" s="9"/>
      <c r="E6" s="9"/>
      <c r="F6" s="9"/>
      <c r="G6" s="9"/>
      <c r="H6" s="9"/>
      <c r="I6" s="9"/>
      <c r="J6" s="9"/>
      <c r="K6" s="9"/>
      <c r="L6" s="9"/>
      <c r="M6" s="9"/>
      <c r="N6" s="9"/>
      <c r="O6" s="9"/>
      <c r="P6" s="9"/>
      <c r="Q6" s="9"/>
    </row>
    <row r="7" spans="1:39" ht="11.9" customHeight="1" x14ac:dyDescent="0.25">
      <c r="A7" s="41" t="s">
        <v>116</v>
      </c>
    </row>
    <row r="8" spans="1:39" ht="11.9" customHeight="1" x14ac:dyDescent="0.25">
      <c r="A8" s="41" t="s">
        <v>117</v>
      </c>
      <c r="B8" s="9"/>
      <c r="C8" s="9"/>
      <c r="D8" s="9"/>
      <c r="E8" s="9"/>
      <c r="F8" s="9"/>
      <c r="G8" s="9"/>
      <c r="H8" s="9"/>
      <c r="I8" s="9"/>
      <c r="J8" s="9"/>
      <c r="K8" s="9"/>
      <c r="L8" s="9"/>
      <c r="M8" s="9"/>
      <c r="N8" s="9"/>
      <c r="O8" s="9"/>
      <c r="P8" s="9"/>
      <c r="Q8" s="9"/>
    </row>
    <row r="9" spans="1:39" ht="11.9" customHeight="1" x14ac:dyDescent="0.25">
      <c r="A9" s="106"/>
      <c r="B9" s="9"/>
      <c r="C9" s="9"/>
      <c r="D9" s="9"/>
      <c r="E9" s="9"/>
      <c r="F9" s="9"/>
      <c r="G9" s="9"/>
      <c r="H9" s="9"/>
      <c r="I9" s="9"/>
      <c r="J9" s="9"/>
      <c r="K9" s="9"/>
      <c r="L9" s="9"/>
      <c r="M9" s="9"/>
      <c r="N9" s="9"/>
      <c r="O9" s="9"/>
      <c r="P9" s="9"/>
      <c r="Q9" s="9"/>
    </row>
    <row r="10" spans="1:39" ht="11.9" customHeight="1" x14ac:dyDescent="0.25">
      <c r="A10" s="106" t="s">
        <v>118</v>
      </c>
      <c r="B10" s="9"/>
      <c r="C10" s="9"/>
      <c r="D10" s="9"/>
      <c r="E10" s="9"/>
      <c r="F10" s="9"/>
      <c r="G10" s="9"/>
      <c r="H10" s="9"/>
      <c r="I10" s="9"/>
      <c r="J10" s="9"/>
      <c r="K10" s="9"/>
      <c r="L10" s="9"/>
      <c r="M10" s="9"/>
      <c r="N10" s="9"/>
      <c r="O10" s="9"/>
      <c r="P10" s="9"/>
      <c r="Q10" s="9"/>
    </row>
    <row r="11" spans="1:39" ht="11.9" customHeight="1" x14ac:dyDescent="0.25">
      <c r="A11" s="15" t="s">
        <v>119</v>
      </c>
      <c r="B11" s="9"/>
      <c r="C11" s="9"/>
      <c r="D11" s="9"/>
      <c r="E11" s="9"/>
      <c r="F11" s="9"/>
      <c r="G11" s="9"/>
      <c r="H11" s="9"/>
      <c r="I11" s="9"/>
      <c r="J11" s="9"/>
      <c r="K11" s="9"/>
      <c r="L11" s="9"/>
      <c r="M11" s="9"/>
      <c r="N11" s="9"/>
      <c r="O11" s="9"/>
      <c r="P11" s="9"/>
      <c r="Q11" s="9"/>
    </row>
    <row r="12" spans="1:39" ht="11.9" customHeight="1" x14ac:dyDescent="0.25">
      <c r="A12" s="244" t="s">
        <v>120</v>
      </c>
      <c r="B12" s="9"/>
      <c r="C12" s="9"/>
      <c r="D12" s="9"/>
      <c r="E12" s="9"/>
      <c r="F12" s="9"/>
      <c r="G12" s="9"/>
      <c r="H12" s="9"/>
      <c r="I12" s="9"/>
      <c r="J12" s="9"/>
      <c r="K12" s="9"/>
      <c r="L12" s="9"/>
      <c r="M12" s="9"/>
      <c r="N12" s="9"/>
      <c r="O12" s="9"/>
      <c r="P12" s="9"/>
      <c r="Q12" s="9"/>
    </row>
    <row r="13" spans="1:39" ht="11.9" customHeight="1" x14ac:dyDescent="0.25">
      <c r="A13" s="244" t="s">
        <v>121</v>
      </c>
      <c r="B13" s="9"/>
      <c r="C13" s="9"/>
      <c r="D13" s="9"/>
      <c r="E13" s="9"/>
      <c r="F13" s="9"/>
      <c r="G13" s="9"/>
      <c r="H13" s="9"/>
      <c r="I13" s="9"/>
      <c r="J13" s="9"/>
      <c r="K13" s="9"/>
      <c r="L13" s="9"/>
      <c r="M13" s="9"/>
      <c r="N13" s="9"/>
      <c r="O13" s="9"/>
      <c r="P13" s="9"/>
      <c r="Q13" s="9"/>
    </row>
    <row r="14" spans="1:39" ht="11.9" customHeight="1" x14ac:dyDescent="0.25">
      <c r="A14" s="244" t="s">
        <v>122</v>
      </c>
      <c r="B14" s="137"/>
      <c r="C14" s="137"/>
      <c r="D14" s="137"/>
      <c r="E14" s="137"/>
      <c r="F14" s="9"/>
      <c r="G14" s="9"/>
      <c r="H14" s="9"/>
      <c r="I14" s="9"/>
      <c r="J14" s="9"/>
      <c r="K14" s="9"/>
      <c r="L14" s="9"/>
      <c r="M14" s="9"/>
      <c r="N14" s="9"/>
      <c r="O14" s="9"/>
      <c r="P14" s="9"/>
      <c r="Q14" s="9"/>
    </row>
    <row r="15" spans="1:39" ht="11.9" customHeight="1" x14ac:dyDescent="0.25">
      <c r="A15" s="244" t="s">
        <v>123</v>
      </c>
      <c r="B15" s="137"/>
      <c r="C15" s="137"/>
      <c r="D15" s="137"/>
      <c r="E15" s="137"/>
      <c r="F15" s="9"/>
      <c r="G15" s="9"/>
      <c r="H15" s="9"/>
      <c r="I15" s="9"/>
      <c r="J15" s="9"/>
      <c r="K15" s="9"/>
      <c r="L15" s="9"/>
      <c r="M15" s="9"/>
      <c r="N15" s="9"/>
      <c r="O15" s="9"/>
      <c r="P15" s="9"/>
      <c r="Q15" s="9"/>
    </row>
    <row r="16" spans="1:39" ht="11.9" customHeight="1" x14ac:dyDescent="0.25">
      <c r="A16" s="14" t="s">
        <v>124</v>
      </c>
      <c r="B16" s="137"/>
      <c r="C16" s="137"/>
      <c r="D16" s="137"/>
      <c r="E16" s="137"/>
      <c r="F16" s="9"/>
      <c r="G16" s="9"/>
      <c r="H16" s="9"/>
      <c r="I16" s="9"/>
      <c r="J16" s="9"/>
      <c r="K16" s="9"/>
      <c r="L16" s="9"/>
      <c r="M16" s="9"/>
      <c r="N16" s="9"/>
      <c r="O16" s="9"/>
      <c r="P16" s="9"/>
      <c r="Q16" s="9"/>
    </row>
    <row r="17" spans="1:17" ht="11.9" customHeight="1" x14ac:dyDescent="0.25">
      <c r="A17" s="15" t="s">
        <v>125</v>
      </c>
      <c r="B17" s="137"/>
      <c r="C17" s="137"/>
      <c r="D17" s="137"/>
      <c r="E17" s="137"/>
      <c r="F17" s="9"/>
      <c r="G17" s="9"/>
      <c r="H17" s="9"/>
      <c r="I17" s="9"/>
      <c r="J17" s="9"/>
      <c r="K17" s="9"/>
      <c r="L17" s="9"/>
      <c r="M17" s="9"/>
      <c r="N17" s="9"/>
      <c r="O17" s="9"/>
      <c r="P17" s="9"/>
      <c r="Q17" s="9"/>
    </row>
    <row r="18" spans="1:17" ht="11.9" customHeight="1" x14ac:dyDescent="0.25">
      <c r="A18" s="59" t="s">
        <v>126</v>
      </c>
      <c r="B18" s="247"/>
      <c r="C18" s="247"/>
      <c r="D18" s="247"/>
      <c r="E18" s="247"/>
      <c r="F18" s="247"/>
      <c r="G18" s="247"/>
      <c r="H18" s="247"/>
      <c r="I18" s="247"/>
    </row>
    <row r="19" spans="1:17" ht="11.9" customHeight="1" x14ac:dyDescent="0.25"/>
    <row r="20" spans="1:17" ht="11.9" customHeight="1" x14ac:dyDescent="0.25">
      <c r="A20" s="59" t="s">
        <v>127</v>
      </c>
    </row>
    <row r="21" spans="1:17" ht="11.9" customHeight="1" x14ac:dyDescent="0.25">
      <c r="A21" s="59" t="s">
        <v>128</v>
      </c>
    </row>
    <row r="22" spans="1:17" ht="11.9" customHeight="1" x14ac:dyDescent="0.25">
      <c r="A22" s="59" t="s">
        <v>129</v>
      </c>
    </row>
    <row r="23" spans="1:17" ht="11.9" customHeight="1" x14ac:dyDescent="0.25">
      <c r="A23" s="59" t="s">
        <v>130</v>
      </c>
    </row>
    <row r="24" spans="1:17" ht="11.9" customHeight="1" x14ac:dyDescent="0.25"/>
    <row r="25" spans="1:17" ht="11.9" customHeight="1" x14ac:dyDescent="0.25">
      <c r="A25" s="59" t="s">
        <v>131</v>
      </c>
      <c r="F25" s="832" t="str">
        <f>"&lt; "&amp;TEXT(Df_Pw,"€ #.##0")</f>
        <v>&lt; € 1.300.000</v>
      </c>
      <c r="G25" s="17" t="s">
        <v>132</v>
      </c>
    </row>
    <row r="26" spans="1:17" ht="11.9" customHeight="1" x14ac:dyDescent="0.25">
      <c r="A26" s="59" t="s">
        <v>133</v>
      </c>
      <c r="F26" s="832" t="str">
        <f>"&lt; "&amp;TEXT(Df_Sw,"€ #.##0")</f>
        <v>&lt; € 1.050.000</v>
      </c>
      <c r="G26" s="17" t="s">
        <v>132</v>
      </c>
    </row>
    <row r="27" spans="1:17" ht="11.9" customHeight="1" x14ac:dyDescent="0.25">
      <c r="A27" s="59" t="s">
        <v>134</v>
      </c>
      <c r="F27" s="832" t="str">
        <f>"&lt; "&amp;TEXT(Df_Os,"€ #.##0")</f>
        <v>&lt; € 115.000</v>
      </c>
      <c r="G27" s="17" t="s">
        <v>135</v>
      </c>
      <c r="I27" s="247"/>
      <c r="J27" s="247"/>
      <c r="K27" s="247"/>
      <c r="L27" s="247"/>
      <c r="M27" s="247"/>
      <c r="N27" s="247"/>
      <c r="O27" s="247"/>
      <c r="P27" s="247"/>
      <c r="Q27" s="247"/>
    </row>
    <row r="28" spans="1:17" ht="11.9" customHeight="1" x14ac:dyDescent="0.25">
      <c r="A28" s="59" t="s">
        <v>136</v>
      </c>
      <c r="F28" s="832" t="str">
        <f>"&lt; "&amp;TEXT(Df_Gra,"€ #.##0")</f>
        <v>&lt; € 4.100</v>
      </c>
      <c r="G28" s="145" t="s">
        <v>137</v>
      </c>
      <c r="I28" s="510"/>
      <c r="J28" s="510"/>
      <c r="K28" s="510"/>
      <c r="L28" s="510"/>
      <c r="M28" s="510"/>
      <c r="N28" s="510"/>
      <c r="O28" s="510"/>
      <c r="P28" s="510"/>
      <c r="Q28" s="510"/>
    </row>
    <row r="29" spans="1:17" ht="11.9" customHeight="1" x14ac:dyDescent="0.25">
      <c r="A29" s="59" t="s">
        <v>138</v>
      </c>
      <c r="F29" s="832" t="str">
        <f>"&lt; "&amp;TEXT(Df_Gea,"€ #.##0")</f>
        <v>&lt; € 2.400</v>
      </c>
      <c r="G29" s="14" t="s">
        <v>139</v>
      </c>
      <c r="I29" s="247"/>
      <c r="J29" s="247"/>
      <c r="K29" s="247"/>
      <c r="L29" s="247"/>
      <c r="M29" s="247"/>
      <c r="N29" s="247"/>
      <c r="O29" s="247"/>
      <c r="P29" s="247"/>
      <c r="Q29" s="247"/>
    </row>
    <row r="30" spans="1:17" ht="11.9" customHeight="1" x14ac:dyDescent="0.25">
      <c r="A30" s="59" t="s">
        <v>140</v>
      </c>
      <c r="F30" s="832" t="str">
        <f>"&lt; "&amp;TEXT(Df_As,"€ #.##0")</f>
        <v>&lt; € 1.350</v>
      </c>
      <c r="G30" s="14" t="s">
        <v>139</v>
      </c>
      <c r="I30" s="247"/>
      <c r="J30" s="247"/>
    </row>
    <row r="31" spans="1:17" ht="11.9" customHeight="1" thickBot="1" x14ac:dyDescent="0.3">
      <c r="H31" s="247"/>
      <c r="I31" s="247"/>
      <c r="J31" s="247"/>
    </row>
    <row r="32" spans="1:17" ht="11.9" customHeight="1" x14ac:dyDescent="0.25">
      <c r="A32" s="1013" t="s">
        <v>73</v>
      </c>
      <c r="B32" s="1014"/>
      <c r="C32" s="1014"/>
      <c r="D32" s="1014"/>
      <c r="E32" s="1014"/>
      <c r="F32" s="1014"/>
      <c r="G32" s="1014"/>
      <c r="H32" s="1014"/>
      <c r="I32" s="1014"/>
      <c r="J32" s="1014"/>
      <c r="K32" s="1015"/>
      <c r="L32" s="1015"/>
      <c r="M32" s="1015"/>
      <c r="N32" s="1015"/>
      <c r="O32" s="1015"/>
      <c r="P32" s="1015"/>
      <c r="Q32" s="1016"/>
    </row>
    <row r="33" spans="1:39" ht="11.9" customHeight="1" x14ac:dyDescent="0.25">
      <c r="A33" s="1017" t="s">
        <v>141</v>
      </c>
      <c r="B33" s="1018"/>
      <c r="C33" s="1018"/>
      <c r="D33" s="1018"/>
      <c r="E33" s="1018"/>
      <c r="F33" s="1018"/>
      <c r="G33" s="1018"/>
      <c r="H33" s="1018"/>
      <c r="I33" s="1018"/>
      <c r="J33" s="1018"/>
      <c r="K33" s="1019"/>
      <c r="L33" s="1019"/>
      <c r="M33" s="1019"/>
      <c r="N33" s="1019"/>
      <c r="O33" s="1019"/>
      <c r="P33" s="1019"/>
      <c r="Q33" s="1020"/>
    </row>
    <row r="34" spans="1:39" ht="11.9" customHeight="1" x14ac:dyDescent="0.25">
      <c r="A34" s="1017" t="s">
        <v>142</v>
      </c>
      <c r="B34" s="1018"/>
      <c r="C34" s="1018"/>
      <c r="D34" s="1018"/>
      <c r="E34" s="1018"/>
      <c r="F34" s="1018"/>
      <c r="G34" s="1018"/>
      <c r="H34" s="1018"/>
      <c r="I34" s="1018"/>
      <c r="J34" s="1018"/>
      <c r="K34" s="1019"/>
      <c r="L34" s="1019"/>
      <c r="M34" s="1019"/>
      <c r="N34" s="1019"/>
      <c r="O34" s="1019"/>
      <c r="P34" s="1019"/>
      <c r="Q34" s="1020"/>
    </row>
    <row r="35" spans="1:39" ht="11.9" customHeight="1" x14ac:dyDescent="0.25">
      <c r="A35" s="1017" t="s">
        <v>143</v>
      </c>
      <c r="B35" s="1018"/>
      <c r="C35" s="1018"/>
      <c r="D35" s="1018"/>
      <c r="E35" s="1018"/>
      <c r="F35" s="1018"/>
      <c r="G35" s="1018"/>
      <c r="H35" s="1018"/>
      <c r="I35" s="1018"/>
      <c r="J35" s="1018"/>
      <c r="K35" s="1019"/>
      <c r="L35" s="1019"/>
      <c r="M35" s="1019"/>
      <c r="N35" s="1019"/>
      <c r="O35" s="1019"/>
      <c r="P35" s="1019"/>
      <c r="Q35" s="1020"/>
    </row>
    <row r="36" spans="1:39" ht="11.9" customHeight="1" thickBot="1" x14ac:dyDescent="0.3">
      <c r="A36" s="1021" t="s">
        <v>144</v>
      </c>
      <c r="B36" s="1022"/>
      <c r="C36" s="1022"/>
      <c r="D36" s="1022"/>
      <c r="E36" s="1022"/>
      <c r="F36" s="1022"/>
      <c r="G36" s="1022"/>
      <c r="H36" s="1022"/>
      <c r="I36" s="1022"/>
      <c r="J36" s="1022"/>
      <c r="K36" s="1023"/>
      <c r="L36" s="1023"/>
      <c r="M36" s="1023"/>
      <c r="N36" s="1023"/>
      <c r="O36" s="1023"/>
      <c r="P36" s="1023"/>
      <c r="Q36" s="1024"/>
    </row>
    <row r="37" spans="1:39" ht="11.9" customHeight="1" thickBot="1" x14ac:dyDescent="0.3"/>
    <row r="38" spans="1:39" s="96" customFormat="1" ht="14" thickBot="1" x14ac:dyDescent="0.3">
      <c r="A38" s="269" t="s">
        <v>145</v>
      </c>
      <c r="B38" s="270"/>
      <c r="C38" s="271"/>
      <c r="D38" s="271"/>
      <c r="E38" s="270"/>
      <c r="F38" s="270"/>
      <c r="G38" s="270"/>
      <c r="H38" s="270"/>
      <c r="I38" s="270"/>
      <c r="J38" s="270"/>
      <c r="K38" s="270"/>
      <c r="L38" s="270"/>
      <c r="M38" s="270"/>
      <c r="N38" s="270"/>
      <c r="O38" s="270"/>
      <c r="P38" s="270"/>
      <c r="Q38" s="272"/>
      <c r="W38" s="98"/>
      <c r="X38" s="98"/>
      <c r="Y38" s="98"/>
      <c r="Z38" s="98"/>
      <c r="AA38" s="98"/>
      <c r="AB38" s="98"/>
      <c r="AC38" s="98"/>
      <c r="AD38" s="98"/>
      <c r="AE38" s="98"/>
      <c r="AF38" s="98"/>
      <c r="AG38" s="98"/>
      <c r="AH38" s="98"/>
      <c r="AI38" s="98"/>
      <c r="AJ38" s="98"/>
      <c r="AK38" s="98"/>
      <c r="AL38" s="98"/>
      <c r="AM38" s="98"/>
    </row>
    <row r="39" spans="1:39" ht="11.9" customHeight="1" x14ac:dyDescent="0.25">
      <c r="A39" s="41" t="s">
        <v>146</v>
      </c>
      <c r="B39" s="9"/>
      <c r="C39" s="9"/>
      <c r="D39" s="9"/>
      <c r="E39" s="9"/>
      <c r="F39" s="9"/>
      <c r="G39" s="9"/>
      <c r="H39" s="9"/>
      <c r="I39" s="9"/>
      <c r="J39" s="9"/>
      <c r="K39" s="9"/>
      <c r="L39" s="9"/>
      <c r="M39" s="9"/>
      <c r="N39" s="9"/>
      <c r="O39" s="9"/>
      <c r="P39" s="9"/>
      <c r="Q39" s="9"/>
      <c r="W39" s="18"/>
      <c r="X39" s="18"/>
      <c r="Y39" s="18"/>
      <c r="Z39" s="18"/>
      <c r="AA39" s="18"/>
      <c r="AB39" s="18"/>
      <c r="AC39" s="18"/>
      <c r="AD39" s="18"/>
      <c r="AE39" s="18"/>
      <c r="AF39" s="18"/>
      <c r="AG39" s="18"/>
      <c r="AH39" s="18"/>
      <c r="AI39" s="18"/>
      <c r="AJ39" s="18"/>
      <c r="AK39" s="18"/>
      <c r="AL39" s="18"/>
      <c r="AM39" s="18"/>
    </row>
    <row r="40" spans="1:39" ht="11.9" customHeight="1" x14ac:dyDescent="0.25">
      <c r="A40" s="41" t="s">
        <v>147</v>
      </c>
      <c r="B40" s="9"/>
      <c r="C40" s="9"/>
      <c r="D40" s="9"/>
      <c r="E40" s="9"/>
      <c r="F40" s="9"/>
      <c r="G40" s="9"/>
      <c r="H40" s="9"/>
      <c r="I40" s="9"/>
      <c r="J40" s="9"/>
      <c r="K40" s="9"/>
      <c r="L40" s="9"/>
      <c r="M40" s="9"/>
      <c r="N40" s="9"/>
      <c r="O40" s="9"/>
      <c r="P40" s="9"/>
      <c r="Q40" s="9"/>
      <c r="W40" s="18"/>
      <c r="X40" s="18"/>
      <c r="Y40" s="18"/>
      <c r="Z40" s="18"/>
      <c r="AA40" s="18"/>
      <c r="AB40" s="18"/>
      <c r="AC40" s="18"/>
      <c r="AD40" s="18"/>
      <c r="AE40" s="18"/>
      <c r="AF40" s="18"/>
      <c r="AG40" s="18"/>
      <c r="AH40" s="18"/>
      <c r="AI40" s="18"/>
      <c r="AJ40" s="18"/>
      <c r="AK40" s="18"/>
      <c r="AL40" s="18"/>
      <c r="AM40" s="18"/>
    </row>
    <row r="41" spans="1:39" ht="11.9" customHeight="1" x14ac:dyDescent="0.25">
      <c r="A41" s="41" t="s">
        <v>148</v>
      </c>
      <c r="B41" s="9"/>
      <c r="C41" s="9"/>
      <c r="D41" s="9"/>
      <c r="E41" s="9"/>
      <c r="F41" s="9"/>
      <c r="G41" s="9"/>
      <c r="H41" s="9"/>
      <c r="I41" s="9"/>
      <c r="J41" s="9"/>
      <c r="K41" s="9"/>
      <c r="L41" s="9"/>
      <c r="M41" s="9"/>
      <c r="N41" s="9"/>
      <c r="O41" s="9"/>
      <c r="P41" s="9"/>
      <c r="Q41" s="9"/>
      <c r="W41" s="18"/>
      <c r="X41" s="18"/>
      <c r="Y41" s="18"/>
      <c r="Z41" s="18"/>
      <c r="AA41" s="18"/>
      <c r="AB41" s="18"/>
      <c r="AC41" s="18"/>
      <c r="AD41" s="18"/>
      <c r="AE41" s="18"/>
      <c r="AF41" s="18"/>
      <c r="AG41" s="18"/>
      <c r="AH41" s="18"/>
      <c r="AI41" s="18"/>
      <c r="AJ41" s="18"/>
      <c r="AK41" s="18"/>
      <c r="AL41" s="18"/>
      <c r="AM41" s="18"/>
    </row>
    <row r="42" spans="1:39" ht="12" customHeight="1" thickBot="1" x14ac:dyDescent="0.3">
      <c r="A42" s="833"/>
      <c r="H42" s="9"/>
      <c r="I42" s="9"/>
      <c r="J42" s="9"/>
      <c r="K42" s="9"/>
      <c r="L42" s="9"/>
      <c r="M42" s="9"/>
      <c r="N42" s="9"/>
      <c r="O42" s="9"/>
      <c r="P42" s="9"/>
      <c r="Q42" s="9"/>
      <c r="W42" s="18"/>
      <c r="X42" s="18"/>
      <c r="Y42" s="18"/>
      <c r="Z42" s="18"/>
      <c r="AA42" s="18"/>
      <c r="AB42" s="18"/>
      <c r="AC42" s="18"/>
      <c r="AD42" s="18"/>
      <c r="AE42" s="18"/>
      <c r="AF42" s="18"/>
      <c r="AG42" s="18"/>
      <c r="AH42" s="18"/>
      <c r="AI42" s="18"/>
      <c r="AJ42" s="18"/>
      <c r="AK42" s="18"/>
      <c r="AL42" s="18"/>
      <c r="AM42" s="18"/>
    </row>
    <row r="43" spans="1:39" ht="12" customHeight="1" x14ac:dyDescent="0.25">
      <c r="A43" s="1013" t="s">
        <v>73</v>
      </c>
      <c r="B43" s="1014"/>
      <c r="C43" s="1014"/>
      <c r="D43" s="1014"/>
      <c r="E43" s="1014"/>
      <c r="F43" s="1014"/>
      <c r="G43" s="1014"/>
      <c r="H43" s="1014"/>
      <c r="I43" s="1014"/>
      <c r="J43" s="1014"/>
      <c r="K43" s="1015"/>
      <c r="L43" s="1015"/>
      <c r="M43" s="1015"/>
      <c r="N43" s="1015"/>
      <c r="O43" s="1015"/>
      <c r="P43" s="1015"/>
      <c r="Q43" s="1016"/>
      <c r="W43" s="18"/>
      <c r="X43" s="18"/>
      <c r="Y43" s="18"/>
      <c r="Z43" s="18"/>
      <c r="AA43" s="18"/>
      <c r="AB43" s="18"/>
      <c r="AC43" s="18"/>
      <c r="AD43" s="18"/>
      <c r="AE43" s="18"/>
      <c r="AF43" s="18"/>
      <c r="AG43" s="18"/>
      <c r="AH43" s="18"/>
      <c r="AI43" s="18"/>
      <c r="AJ43" s="18"/>
      <c r="AK43" s="18"/>
      <c r="AL43" s="18"/>
      <c r="AM43" s="18"/>
    </row>
    <row r="44" spans="1:39" ht="11.9" customHeight="1" x14ac:dyDescent="0.25">
      <c r="A44" s="1025" t="s">
        <v>149</v>
      </c>
      <c r="B44" s="1019"/>
      <c r="C44" s="1019"/>
      <c r="D44" s="1019"/>
      <c r="E44" s="1019"/>
      <c r="F44" s="1019"/>
      <c r="G44" s="1019"/>
      <c r="H44" s="1019"/>
      <c r="I44" s="1019"/>
      <c r="J44" s="1019"/>
      <c r="K44" s="1019"/>
      <c r="L44" s="1019"/>
      <c r="M44" s="1019"/>
      <c r="N44" s="1019"/>
      <c r="O44" s="1019"/>
      <c r="P44" s="1019"/>
      <c r="Q44" s="1020"/>
      <c r="W44" s="18"/>
      <c r="X44" s="18"/>
      <c r="Y44" s="18"/>
      <c r="Z44" s="18"/>
      <c r="AA44" s="18"/>
      <c r="AB44" s="18"/>
      <c r="AC44" s="18"/>
      <c r="AD44" s="18"/>
      <c r="AE44" s="18"/>
      <c r="AF44" s="18"/>
      <c r="AG44" s="18"/>
      <c r="AH44" s="18"/>
      <c r="AI44" s="18"/>
      <c r="AJ44" s="18"/>
      <c r="AK44" s="18"/>
      <c r="AL44" s="18"/>
      <c r="AM44" s="18"/>
    </row>
    <row r="45" spans="1:39" ht="11.9" customHeight="1" thickBot="1" x14ac:dyDescent="0.3">
      <c r="A45" s="1026" t="s">
        <v>150</v>
      </c>
      <c r="B45" s="1023"/>
      <c r="C45" s="1023"/>
      <c r="D45" s="1023"/>
      <c r="E45" s="1023"/>
      <c r="F45" s="1023"/>
      <c r="G45" s="1023"/>
      <c r="H45" s="1023"/>
      <c r="I45" s="1023"/>
      <c r="J45" s="1023"/>
      <c r="K45" s="1023"/>
      <c r="L45" s="1023"/>
      <c r="M45" s="1023"/>
      <c r="N45" s="1023"/>
      <c r="O45" s="1023"/>
      <c r="P45" s="1023"/>
      <c r="Q45" s="1024"/>
      <c r="W45" s="18"/>
      <c r="X45" s="18"/>
      <c r="Y45" s="18"/>
      <c r="Z45" s="18"/>
      <c r="AA45" s="18"/>
      <c r="AB45" s="18"/>
      <c r="AC45" s="18"/>
      <c r="AD45" s="18"/>
      <c r="AE45" s="18"/>
      <c r="AF45" s="18"/>
      <c r="AG45" s="18"/>
      <c r="AH45" s="18"/>
      <c r="AI45" s="18"/>
      <c r="AJ45" s="18"/>
      <c r="AK45" s="18"/>
      <c r="AL45" s="18"/>
      <c r="AM45" s="18"/>
    </row>
    <row r="46" spans="1:39" ht="11.9" customHeight="1" x14ac:dyDescent="0.25">
      <c r="A46" s="108"/>
      <c r="B46" s="9"/>
      <c r="C46" s="9"/>
      <c r="D46" s="9"/>
      <c r="E46" s="9"/>
      <c r="F46" s="9"/>
      <c r="G46" s="9"/>
      <c r="H46" s="9"/>
      <c r="I46" s="9"/>
      <c r="J46" s="9"/>
      <c r="K46" s="9"/>
      <c r="L46" s="9"/>
      <c r="M46" s="9"/>
      <c r="N46" s="9"/>
      <c r="O46" s="9"/>
      <c r="P46" s="9"/>
      <c r="Q46" s="9"/>
      <c r="W46" s="18"/>
      <c r="X46" s="18"/>
      <c r="Y46" s="18"/>
      <c r="Z46" s="18"/>
      <c r="AA46" s="18"/>
      <c r="AB46" s="18"/>
      <c r="AC46" s="18"/>
      <c r="AD46" s="18"/>
      <c r="AE46" s="18"/>
      <c r="AF46" s="18"/>
      <c r="AG46" s="18"/>
      <c r="AH46" s="18"/>
      <c r="AI46" s="18"/>
      <c r="AJ46" s="18"/>
      <c r="AK46" s="18"/>
      <c r="AL46" s="18"/>
      <c r="AM46" s="18"/>
    </row>
    <row r="47" spans="1:39" ht="11.9" customHeight="1" x14ac:dyDescent="0.25">
      <c r="A47" s="108" t="s">
        <v>151</v>
      </c>
      <c r="B47" s="9"/>
      <c r="C47" s="9"/>
      <c r="D47" s="1139" t="s">
        <v>152</v>
      </c>
      <c r="E47" s="1139"/>
      <c r="F47" s="1139"/>
      <c r="G47" s="1139"/>
      <c r="H47" s="1139"/>
      <c r="I47" s="1139"/>
      <c r="J47" s="1139"/>
      <c r="K47" s="1139"/>
      <c r="L47" s="1139"/>
      <c r="M47" s="1139"/>
      <c r="N47" s="1122"/>
      <c r="O47" s="1122"/>
      <c r="P47" s="9"/>
      <c r="Q47" s="9"/>
      <c r="W47" s="18"/>
      <c r="X47" s="18"/>
      <c r="Y47" s="18"/>
      <c r="Z47" s="18"/>
      <c r="AA47" s="18"/>
      <c r="AB47" s="18"/>
      <c r="AC47" s="18"/>
      <c r="AD47" s="18"/>
      <c r="AE47" s="18"/>
      <c r="AF47" s="18"/>
      <c r="AG47" s="18"/>
      <c r="AH47" s="18"/>
      <c r="AI47" s="18"/>
      <c r="AJ47" s="18"/>
      <c r="AK47" s="18"/>
      <c r="AL47" s="18"/>
      <c r="AM47" s="18"/>
    </row>
    <row r="48" spans="1:39" ht="11.9" customHeight="1" x14ac:dyDescent="0.25">
      <c r="A48" s="108"/>
      <c r="B48" s="9"/>
      <c r="C48" s="9"/>
      <c r="D48" s="29"/>
      <c r="E48" s="29"/>
      <c r="F48" s="29"/>
      <c r="G48" s="29"/>
      <c r="H48" s="29"/>
      <c r="I48" s="29"/>
      <c r="J48" s="29"/>
      <c r="K48" s="29"/>
      <c r="L48" s="29"/>
      <c r="M48" s="29"/>
      <c r="N48" s="9"/>
      <c r="O48" s="9"/>
      <c r="P48" s="9"/>
      <c r="Q48" s="9"/>
      <c r="W48" s="18"/>
      <c r="X48" s="18"/>
      <c r="Y48" s="18"/>
      <c r="Z48" s="18"/>
      <c r="AA48" s="18"/>
      <c r="AB48" s="18"/>
      <c r="AC48" s="18"/>
      <c r="AD48" s="18"/>
      <c r="AE48" s="18"/>
      <c r="AF48" s="18"/>
      <c r="AG48" s="18"/>
      <c r="AH48" s="18"/>
      <c r="AI48" s="18"/>
      <c r="AJ48" s="18"/>
      <c r="AK48" s="18"/>
      <c r="AL48" s="18"/>
      <c r="AM48" s="18"/>
    </row>
    <row r="49" spans="1:17" s="101" customFormat="1" ht="13.5" x14ac:dyDescent="0.25">
      <c r="A49" s="109" t="s">
        <v>153</v>
      </c>
      <c r="B49" s="100"/>
      <c r="C49" s="100"/>
      <c r="D49" s="100"/>
      <c r="E49" s="100"/>
      <c r="F49" s="100"/>
      <c r="G49" s="100"/>
      <c r="H49" s="100"/>
      <c r="I49" s="100"/>
      <c r="J49" s="100"/>
      <c r="K49" s="100"/>
      <c r="L49" s="100"/>
      <c r="M49" s="100"/>
      <c r="N49" s="100"/>
      <c r="O49" s="100"/>
      <c r="P49" s="100"/>
      <c r="Q49" s="100"/>
    </row>
    <row r="50" spans="1:17" ht="11.9" customHeight="1" x14ac:dyDescent="0.25">
      <c r="A50" s="145" t="s">
        <v>154</v>
      </c>
      <c r="B50" s="143"/>
      <c r="C50" s="143"/>
      <c r="D50" s="143"/>
      <c r="E50" s="143"/>
      <c r="F50" s="143"/>
      <c r="G50" s="143"/>
      <c r="H50" s="143"/>
      <c r="I50" s="143"/>
      <c r="J50" s="143"/>
      <c r="K50" s="143"/>
      <c r="L50" s="143"/>
      <c r="M50" s="143"/>
      <c r="N50" s="143"/>
      <c r="O50" s="143"/>
      <c r="P50" s="143"/>
      <c r="Q50" s="143"/>
    </row>
    <row r="51" spans="1:17" ht="11.9" customHeight="1" x14ac:dyDescent="0.25">
      <c r="A51" s="244" t="s">
        <v>155</v>
      </c>
      <c r="B51" s="143"/>
      <c r="C51" s="143"/>
      <c r="D51" s="143"/>
      <c r="E51" s="143"/>
      <c r="F51" s="143"/>
      <c r="G51" s="143"/>
      <c r="H51" s="143"/>
      <c r="I51" s="143"/>
      <c r="J51" s="143"/>
      <c r="K51" s="143"/>
      <c r="L51" s="143"/>
      <c r="M51" s="143"/>
      <c r="N51" s="143"/>
      <c r="O51" s="143"/>
      <c r="P51" s="143"/>
      <c r="Q51" s="143"/>
    </row>
    <row r="52" spans="1:17" ht="11.9" customHeight="1" x14ac:dyDescent="0.25">
      <c r="A52" s="145"/>
      <c r="B52" s="143"/>
      <c r="C52" s="143"/>
      <c r="D52" s="143"/>
      <c r="E52" s="143"/>
      <c r="F52" s="143"/>
      <c r="G52" s="143"/>
      <c r="H52" s="143"/>
      <c r="I52" s="143"/>
      <c r="J52" s="143"/>
      <c r="K52" s="143"/>
      <c r="L52" s="143"/>
      <c r="M52" s="143"/>
      <c r="N52" s="143"/>
      <c r="O52" s="143"/>
      <c r="P52" s="143"/>
      <c r="Q52" s="143"/>
    </row>
    <row r="53" spans="1:17" s="99" customFormat="1" ht="14.15" customHeight="1" x14ac:dyDescent="0.25">
      <c r="A53" s="109" t="s">
        <v>156</v>
      </c>
      <c r="B53" s="109"/>
      <c r="C53" s="109"/>
      <c r="D53" s="109"/>
      <c r="E53" s="109"/>
      <c r="F53" s="109"/>
      <c r="G53" s="109"/>
      <c r="H53" s="109"/>
      <c r="I53" s="109"/>
      <c r="J53" s="109"/>
      <c r="K53" s="109"/>
      <c r="L53" s="109"/>
      <c r="M53" s="109"/>
      <c r="N53" s="102"/>
      <c r="O53" s="102"/>
      <c r="P53" s="102"/>
      <c r="Q53" s="102"/>
    </row>
    <row r="54" spans="1:17" ht="11.9" customHeight="1" x14ac:dyDescent="0.25">
      <c r="A54" s="31" t="s">
        <v>157</v>
      </c>
      <c r="B54" s="177"/>
      <c r="C54" s="177"/>
      <c r="D54" s="177"/>
      <c r="E54" s="177"/>
      <c r="F54" s="177"/>
      <c r="G54" s="177"/>
      <c r="H54" s="177"/>
      <c r="I54" s="177"/>
      <c r="J54" s="177"/>
      <c r="K54" s="177"/>
      <c r="L54" s="177"/>
      <c r="M54" s="177"/>
      <c r="N54" s="177"/>
      <c r="O54" s="177"/>
      <c r="P54" s="177"/>
      <c r="Q54" s="177"/>
    </row>
    <row r="55" spans="1:17" ht="11.9" customHeight="1" x14ac:dyDescent="0.25">
      <c r="A55" s="31" t="s">
        <v>158</v>
      </c>
      <c r="B55" s="177"/>
      <c r="C55" s="177"/>
      <c r="D55" s="177"/>
      <c r="E55" s="177"/>
      <c r="F55" s="177"/>
      <c r="G55" s="177"/>
      <c r="H55" s="177"/>
      <c r="I55" s="177"/>
      <c r="J55" s="177"/>
      <c r="K55" s="177"/>
      <c r="L55" s="177"/>
      <c r="M55" s="177"/>
      <c r="N55" s="177"/>
      <c r="O55" s="177"/>
      <c r="P55" s="177"/>
      <c r="Q55" s="177"/>
    </row>
    <row r="56" spans="1:17" ht="11.9" customHeight="1" x14ac:dyDescent="0.25">
      <c r="A56" s="31" t="s">
        <v>159</v>
      </c>
      <c r="B56" s="177"/>
      <c r="C56" s="177"/>
      <c r="D56" s="177"/>
      <c r="E56" s="177"/>
      <c r="F56" s="177"/>
      <c r="G56" s="177"/>
      <c r="H56" s="177"/>
      <c r="I56" s="177"/>
      <c r="J56" s="177"/>
      <c r="K56" s="177"/>
      <c r="L56" s="177"/>
      <c r="M56" s="177"/>
      <c r="N56" s="177"/>
      <c r="O56" s="177"/>
      <c r="P56" s="177"/>
      <c r="Q56" s="177"/>
    </row>
    <row r="57" spans="1:17" ht="11.9" customHeight="1" x14ac:dyDescent="0.25">
      <c r="A57" s="17" t="s">
        <v>160</v>
      </c>
      <c r="B57" s="177"/>
      <c r="C57" s="177"/>
      <c r="D57" s="177"/>
      <c r="E57" s="177"/>
      <c r="F57" s="177"/>
      <c r="G57" s="177"/>
      <c r="H57" s="177"/>
      <c r="I57" s="177"/>
      <c r="J57" s="177"/>
      <c r="K57" s="177"/>
      <c r="L57" s="177"/>
      <c r="M57" s="177"/>
      <c r="N57" s="177"/>
      <c r="O57" s="177"/>
      <c r="P57" s="177"/>
      <c r="Q57" s="177"/>
    </row>
    <row r="58" spans="1:17" ht="11.9" customHeight="1" x14ac:dyDescent="0.25">
      <c r="A58" s="17" t="s">
        <v>161</v>
      </c>
      <c r="B58" s="177"/>
      <c r="C58" s="177"/>
      <c r="D58" s="177"/>
      <c r="E58" s="177"/>
      <c r="F58" s="177"/>
      <c r="G58" s="177"/>
      <c r="H58" s="177"/>
      <c r="I58" s="177"/>
      <c r="J58" s="177"/>
      <c r="K58" s="177"/>
      <c r="L58" s="177"/>
      <c r="M58" s="177"/>
      <c r="N58" s="177"/>
      <c r="O58" s="177"/>
      <c r="P58" s="177"/>
      <c r="Q58" s="177"/>
    </row>
    <row r="59" spans="1:17" ht="11.9" customHeight="1" x14ac:dyDescent="0.25">
      <c r="A59" s="31"/>
      <c r="B59" s="177"/>
      <c r="C59" s="177"/>
      <c r="D59" s="177"/>
      <c r="E59" s="177"/>
      <c r="F59" s="177"/>
      <c r="G59" s="177"/>
      <c r="H59" s="177"/>
      <c r="I59" s="177"/>
      <c r="J59" s="177"/>
      <c r="K59" s="177"/>
      <c r="L59" s="177"/>
      <c r="M59" s="177"/>
      <c r="N59" s="177"/>
      <c r="O59" s="177"/>
      <c r="P59" s="177"/>
      <c r="Q59" s="177"/>
    </row>
    <row r="60" spans="1:17" s="99" customFormat="1" ht="14.15" customHeight="1" x14ac:dyDescent="0.25">
      <c r="A60" s="109" t="s">
        <v>162</v>
      </c>
      <c r="B60" s="109"/>
      <c r="C60" s="109"/>
      <c r="D60" s="109"/>
      <c r="E60" s="109"/>
      <c r="F60" s="109"/>
      <c r="G60" s="109"/>
      <c r="H60" s="109"/>
      <c r="I60" s="109"/>
      <c r="J60" s="109"/>
      <c r="K60" s="109"/>
      <c r="L60" s="109"/>
      <c r="M60" s="109"/>
      <c r="N60" s="102"/>
      <c r="O60" s="102"/>
      <c r="P60" s="102"/>
      <c r="Q60" s="102"/>
    </row>
    <row r="61" spans="1:17" ht="12.5" x14ac:dyDescent="0.25">
      <c r="A61" s="14" t="s">
        <v>163</v>
      </c>
      <c r="B61" s="130"/>
      <c r="C61" s="130"/>
      <c r="D61" s="130"/>
      <c r="E61" s="130"/>
      <c r="F61" s="130"/>
      <c r="G61" s="130"/>
      <c r="H61" s="130"/>
      <c r="I61" s="130"/>
      <c r="J61" s="130"/>
      <c r="K61" s="130"/>
      <c r="L61" s="130"/>
      <c r="M61" s="130"/>
    </row>
    <row r="62" spans="1:17" ht="12.5" x14ac:dyDescent="0.25">
      <c r="A62" s="42"/>
      <c r="B62" s="130"/>
      <c r="C62" s="130"/>
      <c r="D62" s="130"/>
      <c r="E62" s="130"/>
      <c r="F62" s="130"/>
      <c r="G62" s="130"/>
      <c r="H62" s="130"/>
      <c r="I62" s="130"/>
      <c r="J62" s="130"/>
      <c r="K62" s="130"/>
      <c r="L62" s="130"/>
      <c r="M62" s="130"/>
    </row>
    <row r="63" spans="1:17" s="99" customFormat="1" ht="13.5" x14ac:dyDescent="0.25">
      <c r="A63" s="116" t="s">
        <v>164</v>
      </c>
      <c r="B63" s="116"/>
      <c r="C63" s="116"/>
      <c r="D63" s="116"/>
      <c r="E63" s="116"/>
      <c r="F63" s="116"/>
      <c r="G63" s="116"/>
      <c r="H63" s="116"/>
      <c r="I63" s="116"/>
      <c r="J63" s="116"/>
      <c r="K63" s="116"/>
      <c r="L63" s="116"/>
      <c r="M63" s="116"/>
      <c r="N63" s="117"/>
      <c r="O63" s="117"/>
      <c r="P63" s="117"/>
      <c r="Q63" s="118"/>
    </row>
    <row r="64" spans="1:17" ht="11.9" customHeight="1" x14ac:dyDescent="0.25">
      <c r="A64" s="42" t="s">
        <v>165</v>
      </c>
    </row>
    <row r="65" spans="1:39" ht="11.9" customHeight="1" x14ac:dyDescent="0.25">
      <c r="A65" s="59" t="s">
        <v>166</v>
      </c>
    </row>
    <row r="66" spans="1:39" ht="11.9" customHeight="1" x14ac:dyDescent="0.25">
      <c r="A66" s="17" t="s">
        <v>167</v>
      </c>
      <c r="C66" s="131"/>
      <c r="D66" s="131"/>
      <c r="E66" s="131"/>
      <c r="F66" s="131"/>
      <c r="G66" s="131"/>
      <c r="H66" s="131"/>
      <c r="I66" s="131"/>
      <c r="J66" s="131"/>
      <c r="K66" s="131"/>
      <c r="L66" s="131"/>
      <c r="M66" s="131"/>
      <c r="N66" s="131"/>
      <c r="O66" s="131"/>
      <c r="P66" s="131"/>
      <c r="Q66" s="131"/>
    </row>
    <row r="67" spans="1:39" ht="11.9" customHeight="1" x14ac:dyDescent="0.25">
      <c r="A67" s="17"/>
      <c r="C67" s="131"/>
      <c r="D67" s="131"/>
      <c r="E67" s="131"/>
      <c r="F67" s="131"/>
      <c r="G67" s="131"/>
      <c r="H67" s="131"/>
      <c r="I67" s="131"/>
      <c r="J67" s="131"/>
      <c r="K67" s="131"/>
      <c r="L67" s="131"/>
      <c r="M67" s="131"/>
      <c r="N67" s="131"/>
      <c r="O67" s="131"/>
      <c r="P67" s="131"/>
      <c r="Q67" s="131"/>
    </row>
    <row r="68" spans="1:39" ht="11.9" customHeight="1" x14ac:dyDescent="0.25">
      <c r="A68" s="839" t="s">
        <v>168</v>
      </c>
      <c r="B68" s="247"/>
      <c r="C68" s="247"/>
      <c r="D68" s="131"/>
      <c r="E68" s="131"/>
      <c r="F68" s="131"/>
      <c r="G68" s="131"/>
      <c r="H68" s="131"/>
      <c r="I68" s="131"/>
      <c r="J68" s="131"/>
      <c r="K68" s="131"/>
      <c r="L68" s="131"/>
      <c r="M68" s="131"/>
      <c r="N68" s="131"/>
      <c r="O68" s="131"/>
      <c r="P68" s="131"/>
      <c r="Q68" s="131"/>
    </row>
    <row r="69" spans="1:39" ht="11.9" customHeight="1" x14ac:dyDescent="0.25">
      <c r="A69" s="145" t="s">
        <v>169</v>
      </c>
      <c r="D69" s="131"/>
      <c r="E69" s="131"/>
      <c r="F69" s="131"/>
      <c r="G69" s="131"/>
      <c r="H69" s="131"/>
      <c r="I69" s="131"/>
      <c r="J69" s="131"/>
      <c r="K69" s="131"/>
      <c r="L69" s="131"/>
      <c r="M69" s="131"/>
      <c r="N69" s="131"/>
      <c r="O69" s="131"/>
      <c r="P69" s="131"/>
      <c r="Q69" s="131"/>
    </row>
    <row r="70" spans="1:39" ht="11.9" customHeight="1" x14ac:dyDescent="0.25">
      <c r="A70" s="59" t="s">
        <v>170</v>
      </c>
      <c r="D70" s="131"/>
      <c r="E70" s="131"/>
      <c r="F70" s="131"/>
      <c r="G70" s="131"/>
      <c r="H70" s="131"/>
      <c r="I70" s="131"/>
      <c r="J70" s="131"/>
      <c r="K70" s="131"/>
      <c r="L70" s="131"/>
      <c r="M70" s="131"/>
      <c r="N70" s="131"/>
      <c r="O70" s="131"/>
      <c r="P70" s="131"/>
      <c r="Q70" s="131"/>
    </row>
    <row r="71" spans="1:39" ht="11.9" customHeight="1" x14ac:dyDescent="0.25">
      <c r="A71" s="247"/>
      <c r="B71" s="248"/>
      <c r="C71" s="248"/>
      <c r="D71" s="248"/>
      <c r="E71" s="248"/>
      <c r="F71" s="248"/>
      <c r="G71" s="248"/>
      <c r="H71" s="248"/>
      <c r="I71" s="131"/>
      <c r="J71" s="131"/>
      <c r="K71" s="131"/>
      <c r="L71" s="131"/>
      <c r="M71" s="131"/>
      <c r="N71" s="131"/>
      <c r="O71" s="131"/>
      <c r="P71" s="131"/>
      <c r="Q71" s="131"/>
    </row>
    <row r="72" spans="1:39" s="99" customFormat="1" ht="13.5" x14ac:dyDescent="0.25">
      <c r="A72" s="110" t="s">
        <v>171</v>
      </c>
      <c r="B72" s="97"/>
      <c r="C72" s="77"/>
      <c r="D72" s="77"/>
      <c r="E72" s="97"/>
      <c r="F72" s="97"/>
      <c r="G72" s="97"/>
      <c r="H72" s="97"/>
      <c r="I72" s="97"/>
      <c r="J72" s="97"/>
      <c r="K72" s="97"/>
      <c r="L72" s="97"/>
      <c r="M72" s="97"/>
      <c r="N72" s="97"/>
      <c r="O72" s="97"/>
      <c r="P72" s="97"/>
      <c r="Q72" s="97"/>
    </row>
    <row r="73" spans="1:39" ht="11.9" customHeight="1" x14ac:dyDescent="0.25">
      <c r="A73" s="107" t="s">
        <v>172</v>
      </c>
      <c r="B73" s="9"/>
      <c r="C73" s="9"/>
      <c r="D73" s="9"/>
      <c r="E73" s="9"/>
      <c r="F73" s="9"/>
      <c r="G73" s="9"/>
      <c r="H73" s="9"/>
      <c r="I73" s="9"/>
      <c r="J73" s="9"/>
      <c r="K73" s="9"/>
      <c r="L73" s="9"/>
      <c r="M73" s="9"/>
      <c r="N73" s="9"/>
      <c r="O73" s="9"/>
      <c r="P73" s="9"/>
      <c r="Q73" s="9"/>
    </row>
    <row r="74" spans="1:39" ht="11.9" customHeight="1" x14ac:dyDescent="0.25">
      <c r="A74" s="108" t="s">
        <v>173</v>
      </c>
      <c r="B74" s="9"/>
      <c r="C74" s="9"/>
      <c r="D74" s="9"/>
      <c r="E74" s="9"/>
      <c r="F74" s="9"/>
      <c r="G74" s="9"/>
      <c r="H74" s="9"/>
      <c r="I74" s="9"/>
      <c r="J74" s="9"/>
      <c r="K74" s="9"/>
      <c r="L74" s="9"/>
      <c r="M74" s="9"/>
      <c r="N74" s="9"/>
      <c r="O74" s="9"/>
      <c r="P74" s="9"/>
      <c r="Q74" s="9"/>
    </row>
    <row r="75" spans="1:39" ht="11.9" customHeight="1" x14ac:dyDescent="0.25">
      <c r="A75" s="108" t="s">
        <v>174</v>
      </c>
      <c r="B75" s="9"/>
      <c r="C75" s="9"/>
      <c r="D75" s="9"/>
      <c r="E75" s="9"/>
      <c r="F75" s="9"/>
      <c r="G75" s="9"/>
      <c r="H75" s="9"/>
      <c r="I75" s="9"/>
      <c r="J75" s="9"/>
      <c r="K75" s="9"/>
      <c r="L75" s="9"/>
      <c r="M75" s="9"/>
      <c r="N75" s="9"/>
      <c r="O75" s="9"/>
      <c r="P75" s="9"/>
      <c r="Q75" s="9"/>
    </row>
    <row r="76" spans="1:39" ht="11.9" customHeight="1" x14ac:dyDescent="0.25">
      <c r="A76" s="108" t="s">
        <v>175</v>
      </c>
      <c r="B76" s="9"/>
      <c r="C76" s="9"/>
      <c r="D76" s="9"/>
      <c r="E76" s="9"/>
      <c r="F76" s="9"/>
      <c r="G76" s="9"/>
      <c r="H76" s="9"/>
      <c r="I76" s="9"/>
      <c r="J76" s="9"/>
      <c r="K76" s="9"/>
      <c r="L76" s="9"/>
      <c r="M76" s="9"/>
      <c r="N76" s="9"/>
      <c r="O76" s="9"/>
      <c r="P76" s="9"/>
      <c r="Q76" s="9"/>
    </row>
    <row r="77" spans="1:39" ht="11.9" customHeight="1" thickBot="1" x14ac:dyDescent="0.3">
      <c r="A77" s="108"/>
      <c r="B77" s="9"/>
      <c r="C77" s="9"/>
      <c r="D77" s="9"/>
      <c r="E77" s="9"/>
      <c r="F77" s="9"/>
      <c r="G77" s="9"/>
      <c r="H77" s="9"/>
      <c r="I77" s="9"/>
      <c r="J77" s="9"/>
      <c r="K77" s="9"/>
      <c r="L77" s="9"/>
      <c r="M77" s="9"/>
      <c r="N77" s="9"/>
      <c r="O77" s="9"/>
      <c r="P77" s="9"/>
      <c r="Q77" s="9"/>
    </row>
    <row r="78" spans="1:39" ht="12" customHeight="1" x14ac:dyDescent="0.25">
      <c r="A78" s="1013" t="s">
        <v>73</v>
      </c>
      <c r="B78" s="1014"/>
      <c r="C78" s="1014"/>
      <c r="D78" s="1014"/>
      <c r="E78" s="1014"/>
      <c r="F78" s="1014"/>
      <c r="G78" s="1014"/>
      <c r="H78" s="1014"/>
      <c r="I78" s="1014"/>
      <c r="J78" s="1014"/>
      <c r="K78" s="1015"/>
      <c r="L78" s="1015"/>
      <c r="M78" s="1015"/>
      <c r="N78" s="1015"/>
      <c r="O78" s="1015"/>
      <c r="P78" s="1015"/>
      <c r="Q78" s="1016"/>
      <c r="W78" s="18"/>
      <c r="X78" s="18"/>
      <c r="Y78" s="18"/>
      <c r="Z78" s="18"/>
      <c r="AA78" s="18"/>
      <c r="AB78" s="18"/>
      <c r="AC78" s="18"/>
      <c r="AD78" s="18"/>
      <c r="AE78" s="18"/>
      <c r="AF78" s="18"/>
      <c r="AG78" s="18"/>
      <c r="AH78" s="18"/>
      <c r="AI78" s="18"/>
      <c r="AJ78" s="18"/>
      <c r="AK78" s="18"/>
      <c r="AL78" s="18"/>
      <c r="AM78" s="18"/>
    </row>
    <row r="79" spans="1:39" ht="11.9" customHeight="1" x14ac:dyDescent="0.25">
      <c r="A79" s="1025" t="s">
        <v>176</v>
      </c>
      <c r="B79" s="1019"/>
      <c r="C79" s="1019"/>
      <c r="D79" s="1019"/>
      <c r="E79" s="1019"/>
      <c r="F79" s="1019"/>
      <c r="G79" s="1019"/>
      <c r="H79" s="1019"/>
      <c r="I79" s="1019"/>
      <c r="J79" s="1019"/>
      <c r="K79" s="1019"/>
      <c r="L79" s="1019"/>
      <c r="M79" s="1019"/>
      <c r="N79" s="1019"/>
      <c r="O79" s="1019"/>
      <c r="P79" s="1019"/>
      <c r="Q79" s="1020"/>
    </row>
    <row r="80" spans="1:39" ht="11.9" customHeight="1" thickBot="1" x14ac:dyDescent="0.3">
      <c r="A80" s="1026" t="s">
        <v>150</v>
      </c>
      <c r="B80" s="1023"/>
      <c r="C80" s="1023"/>
      <c r="D80" s="1023"/>
      <c r="E80" s="1023"/>
      <c r="F80" s="1023"/>
      <c r="G80" s="1023"/>
      <c r="H80" s="1023"/>
      <c r="I80" s="1023"/>
      <c r="J80" s="1023"/>
      <c r="K80" s="1023"/>
      <c r="L80" s="1023"/>
      <c r="M80" s="1023"/>
      <c r="N80" s="1023"/>
      <c r="O80" s="1023"/>
      <c r="P80" s="1023"/>
      <c r="Q80" s="1024"/>
    </row>
    <row r="81" spans="1:18" ht="11.9" customHeight="1" x14ac:dyDescent="0.25">
      <c r="A81" s="108"/>
      <c r="B81" s="9"/>
      <c r="C81" s="9"/>
      <c r="D81" s="9"/>
      <c r="E81" s="9"/>
      <c r="F81" s="9"/>
      <c r="G81" s="9"/>
      <c r="H81" s="9"/>
      <c r="I81" s="9"/>
      <c r="J81" s="9"/>
      <c r="K81" s="9"/>
      <c r="L81" s="9"/>
      <c r="M81" s="9"/>
      <c r="N81" s="9"/>
      <c r="O81" s="9"/>
      <c r="P81" s="9"/>
      <c r="Q81" s="9"/>
    </row>
    <row r="82" spans="1:18" s="96" customFormat="1" ht="13.5" x14ac:dyDescent="0.25">
      <c r="A82" s="268" t="s">
        <v>177</v>
      </c>
      <c r="B82" s="95"/>
      <c r="C82" s="95"/>
      <c r="D82" s="95"/>
      <c r="E82" s="95"/>
      <c r="F82" s="95"/>
      <c r="G82" s="95"/>
      <c r="H82" s="95"/>
      <c r="I82" s="95"/>
      <c r="J82" s="95"/>
      <c r="K82" s="95"/>
      <c r="L82" s="95"/>
      <c r="M82" s="95"/>
      <c r="N82" s="95"/>
      <c r="O82" s="95"/>
      <c r="P82" s="95"/>
      <c r="Q82" s="95"/>
    </row>
    <row r="83" spans="1:18" ht="11.9" customHeight="1" x14ac:dyDescent="0.25">
      <c r="A83" s="105" t="s">
        <v>178</v>
      </c>
      <c r="B83" s="9"/>
      <c r="C83" s="9"/>
      <c r="D83" s="9"/>
      <c r="E83" s="9"/>
      <c r="F83" s="9"/>
      <c r="G83" s="9"/>
      <c r="H83" s="9"/>
      <c r="I83" s="9"/>
      <c r="J83" s="9"/>
      <c r="K83" s="9"/>
      <c r="L83" s="9"/>
      <c r="M83" s="9"/>
      <c r="N83" s="9"/>
      <c r="O83" s="9"/>
      <c r="P83" s="9"/>
      <c r="Q83" s="9"/>
    </row>
    <row r="84" spans="1:18" ht="11.9" customHeight="1" x14ac:dyDescent="0.25">
      <c r="A84" s="107" t="s">
        <v>179</v>
      </c>
      <c r="B84" s="9"/>
      <c r="C84" s="9"/>
      <c r="D84" s="9"/>
      <c r="E84" s="9"/>
      <c r="F84" s="9"/>
      <c r="G84" s="9"/>
      <c r="H84" s="9"/>
      <c r="I84" s="9"/>
      <c r="J84" s="9"/>
      <c r="K84" s="9"/>
      <c r="L84" s="9"/>
      <c r="M84" s="9"/>
      <c r="N84" s="9"/>
      <c r="O84" s="9"/>
      <c r="P84" s="9"/>
      <c r="Q84" s="9"/>
      <c r="R84"/>
    </row>
    <row r="85" spans="1:18" ht="11.9" customHeight="1" x14ac:dyDescent="0.25">
      <c r="A85" s="842" t="s">
        <v>180</v>
      </c>
      <c r="B85" s="9"/>
      <c r="C85" s="9"/>
      <c r="D85" s="9"/>
      <c r="E85" s="9"/>
      <c r="F85" s="9"/>
      <c r="G85" s="9"/>
      <c r="H85" s="9"/>
      <c r="I85" s="9"/>
      <c r="J85" s="9"/>
      <c r="K85" s="9"/>
      <c r="L85" s="9"/>
      <c r="M85" s="9"/>
      <c r="N85" s="9"/>
      <c r="O85" s="9"/>
      <c r="P85" s="9"/>
      <c r="Q85" s="9"/>
    </row>
    <row r="86" spans="1:18" ht="11.9" customHeight="1" x14ac:dyDescent="0.25">
      <c r="A86" s="41" t="s">
        <v>181</v>
      </c>
      <c r="B86" s="273"/>
      <c r="C86" s="273"/>
      <c r="D86" s="273"/>
      <c r="E86" s="273"/>
      <c r="F86" s="273"/>
      <c r="G86" s="273"/>
      <c r="H86" s="273"/>
      <c r="I86" s="273"/>
      <c r="J86" s="273"/>
      <c r="K86" s="273"/>
      <c r="L86" s="273"/>
      <c r="M86" s="273"/>
      <c r="N86" s="273"/>
      <c r="O86" s="273"/>
      <c r="P86" s="273"/>
      <c r="Q86" s="9"/>
    </row>
    <row r="87" spans="1:18" ht="11.9" customHeight="1" x14ac:dyDescent="0.25">
      <c r="A87" s="41" t="s">
        <v>182</v>
      </c>
      <c r="B87" s="274"/>
      <c r="C87" s="274"/>
      <c r="D87" s="274"/>
      <c r="E87" s="274"/>
      <c r="F87" s="274"/>
      <c r="G87" s="274"/>
      <c r="H87" s="274"/>
      <c r="I87" s="274"/>
      <c r="J87" s="274"/>
      <c r="K87" s="274"/>
      <c r="L87" s="274"/>
      <c r="M87" s="274"/>
      <c r="N87" s="274"/>
      <c r="O87" s="274"/>
      <c r="P87" s="274"/>
      <c r="Q87" s="9"/>
    </row>
    <row r="88" spans="1:18" ht="11.9" customHeight="1" x14ac:dyDescent="0.25">
      <c r="A88" s="275" t="s">
        <v>183</v>
      </c>
      <c r="B88" s="274"/>
      <c r="C88" s="274"/>
      <c r="D88" s="274"/>
      <c r="E88" s="274"/>
      <c r="F88" s="274"/>
      <c r="G88" s="274"/>
      <c r="H88" s="274"/>
      <c r="I88" s="274"/>
      <c r="J88" s="274"/>
      <c r="K88" s="274"/>
      <c r="L88" s="274"/>
      <c r="M88" s="274"/>
      <c r="N88" s="274"/>
      <c r="O88" s="274"/>
      <c r="P88" s="274"/>
      <c r="Q88" s="9"/>
    </row>
    <row r="89" spans="1:18" ht="11.9" customHeight="1" x14ac:dyDescent="0.25">
      <c r="A89" s="108"/>
      <c r="B89" s="9"/>
      <c r="C89" s="9"/>
      <c r="D89" s="9"/>
      <c r="E89" s="9"/>
      <c r="F89" s="9"/>
      <c r="G89" s="9"/>
      <c r="H89" s="9"/>
      <c r="I89" s="9"/>
      <c r="J89" s="9"/>
      <c r="K89" s="9"/>
      <c r="L89" s="9"/>
      <c r="M89" s="9"/>
      <c r="N89" s="9"/>
      <c r="O89" s="9"/>
      <c r="P89" s="9"/>
      <c r="Q89" s="9"/>
    </row>
    <row r="90" spans="1:18" s="96" customFormat="1" ht="13.5" x14ac:dyDescent="0.25">
      <c r="A90" s="104" t="s">
        <v>184</v>
      </c>
      <c r="B90" s="97"/>
      <c r="C90" s="97"/>
      <c r="D90" s="97"/>
      <c r="E90" s="97"/>
      <c r="F90" s="97"/>
      <c r="G90" s="97"/>
      <c r="H90" s="97"/>
      <c r="I90" s="97"/>
      <c r="J90" s="97"/>
      <c r="K90" s="97"/>
      <c r="L90" s="97"/>
      <c r="M90" s="97"/>
      <c r="N90" s="97"/>
      <c r="O90" s="97"/>
      <c r="P90" s="97"/>
      <c r="Q90" s="97"/>
    </row>
    <row r="91" spans="1:18" ht="11.9" customHeight="1" x14ac:dyDescent="0.25">
      <c r="A91" s="107" t="s">
        <v>185</v>
      </c>
      <c r="B91" s="9"/>
      <c r="C91" s="9"/>
      <c r="D91" s="9"/>
      <c r="E91" s="9"/>
      <c r="F91" s="9"/>
      <c r="G91" s="9"/>
      <c r="H91" s="9"/>
      <c r="I91" s="9"/>
      <c r="J91" s="9"/>
      <c r="K91" s="9"/>
      <c r="L91" s="9"/>
      <c r="M91" s="9"/>
      <c r="N91" s="9"/>
      <c r="O91" s="9"/>
      <c r="P91" s="9"/>
      <c r="Q91" s="9"/>
    </row>
    <row r="92" spans="1:18" ht="11.9" customHeight="1" x14ac:dyDescent="0.25">
      <c r="A92" s="843" t="s">
        <v>186</v>
      </c>
      <c r="B92" s="9"/>
      <c r="C92" s="9"/>
      <c r="E92" s="9"/>
      <c r="F92" s="9"/>
      <c r="G92" s="9"/>
      <c r="H92" s="9"/>
      <c r="I92" s="9"/>
      <c r="J92" s="9"/>
      <c r="K92" s="9"/>
      <c r="L92" s="9"/>
      <c r="M92" s="9"/>
      <c r="N92" s="9"/>
      <c r="O92" s="9"/>
      <c r="P92" s="9"/>
      <c r="Q92" s="9"/>
    </row>
    <row r="93" spans="1:18" ht="11.9" customHeight="1" x14ac:dyDescent="0.25">
      <c r="A93" s="9" t="s">
        <v>187</v>
      </c>
      <c r="B93" s="9"/>
      <c r="C93" s="9"/>
      <c r="D93" s="9"/>
      <c r="E93" s="9"/>
      <c r="F93" s="9"/>
      <c r="G93" s="9"/>
      <c r="H93" s="9"/>
      <c r="I93" s="9"/>
      <c r="J93" s="9"/>
      <c r="K93" s="9"/>
      <c r="L93" s="9"/>
      <c r="M93" s="9"/>
      <c r="N93" s="9"/>
      <c r="O93" s="9"/>
      <c r="P93" s="9"/>
      <c r="Q93" s="9"/>
    </row>
    <row r="94" spans="1:18" ht="11.9" customHeight="1" x14ac:dyDescent="0.25">
      <c r="A94" s="111"/>
      <c r="B94" s="30"/>
      <c r="C94" s="30"/>
      <c r="D94" s="30"/>
      <c r="E94" s="30"/>
      <c r="F94" s="30"/>
      <c r="G94" s="30"/>
      <c r="H94" s="30"/>
      <c r="I94" s="30"/>
      <c r="J94" s="30"/>
      <c r="K94" s="30"/>
      <c r="L94" s="30"/>
      <c r="M94" s="30"/>
      <c r="N94" s="30"/>
      <c r="O94" s="30"/>
      <c r="P94" s="30"/>
      <c r="Q94" s="30"/>
    </row>
    <row r="95" spans="1:18" s="96" customFormat="1" ht="13.5" x14ac:dyDescent="0.25">
      <c r="A95" s="104" t="s">
        <v>188</v>
      </c>
      <c r="B95" s="97"/>
      <c r="C95" s="97"/>
      <c r="D95" s="97"/>
      <c r="E95" s="97"/>
      <c r="F95" s="97"/>
      <c r="G95" s="97"/>
      <c r="H95" s="97"/>
      <c r="I95" s="97"/>
      <c r="J95" s="97"/>
      <c r="K95" s="97"/>
      <c r="L95" s="97"/>
      <c r="M95" s="97"/>
      <c r="N95" s="97"/>
      <c r="O95" s="97"/>
      <c r="P95" s="97"/>
      <c r="Q95" s="97"/>
    </row>
    <row r="96" spans="1:18" x14ac:dyDescent="0.25">
      <c r="A96" s="145" t="s">
        <v>189</v>
      </c>
      <c r="B96" s="247"/>
      <c r="C96" s="247"/>
      <c r="D96" s="247"/>
      <c r="E96" s="247"/>
      <c r="F96" s="247"/>
      <c r="G96" s="247"/>
      <c r="H96" s="247"/>
      <c r="I96" s="247"/>
      <c r="J96" s="247"/>
      <c r="K96" s="247"/>
      <c r="L96" s="247"/>
      <c r="M96" s="247"/>
      <c r="N96" s="247"/>
      <c r="O96" s="247"/>
      <c r="P96" s="247"/>
    </row>
    <row r="97" spans="1:1" x14ac:dyDescent="0.25">
      <c r="A97" s="145" t="s">
        <v>190</v>
      </c>
    </row>
    <row r="98" spans="1:1" x14ac:dyDescent="0.25">
      <c r="A98" s="145" t="s">
        <v>191</v>
      </c>
    </row>
    <row r="99" spans="1:1" x14ac:dyDescent="0.25">
      <c r="A99" s="145" t="s">
        <v>192</v>
      </c>
    </row>
    <row r="100" spans="1:1" x14ac:dyDescent="0.25">
      <c r="A100" s="145" t="s">
        <v>193</v>
      </c>
    </row>
    <row r="101" spans="1:1" x14ac:dyDescent="0.25">
      <c r="A101" s="147"/>
    </row>
    <row r="102" spans="1:1" x14ac:dyDescent="0.25">
      <c r="A102" s="145" t="s">
        <v>194</v>
      </c>
    </row>
    <row r="103" spans="1:1" x14ac:dyDescent="0.25">
      <c r="A103" s="145" t="s">
        <v>195</v>
      </c>
    </row>
    <row r="104" spans="1:1" x14ac:dyDescent="0.25">
      <c r="A104" s="145" t="s">
        <v>196</v>
      </c>
    </row>
    <row r="105" spans="1:1" x14ac:dyDescent="0.25">
      <c r="A105" s="59" t="s">
        <v>197</v>
      </c>
    </row>
    <row r="106" spans="1:1" x14ac:dyDescent="0.25">
      <c r="A106" s="59" t="s">
        <v>198</v>
      </c>
    </row>
    <row r="107" spans="1:1" x14ac:dyDescent="0.25">
      <c r="A107" s="17" t="s">
        <v>199</v>
      </c>
    </row>
    <row r="108" spans="1:1" x14ac:dyDescent="0.25">
      <c r="A108" s="466"/>
    </row>
    <row r="109" spans="1:1" x14ac:dyDescent="0.25">
      <c r="A109" s="59" t="s">
        <v>200</v>
      </c>
    </row>
    <row r="110" spans="1:1" x14ac:dyDescent="0.25">
      <c r="A110" s="59" t="s">
        <v>201</v>
      </c>
    </row>
    <row r="111" spans="1:1" x14ac:dyDescent="0.25">
      <c r="A111" s="59" t="s">
        <v>202</v>
      </c>
    </row>
    <row r="112" spans="1:1" x14ac:dyDescent="0.25">
      <c r="A112" s="59" t="s">
        <v>203</v>
      </c>
    </row>
    <row r="113" spans="1:17" x14ac:dyDescent="0.25">
      <c r="A113" s="59" t="s">
        <v>204</v>
      </c>
    </row>
    <row r="114" spans="1:17" x14ac:dyDescent="0.25">
      <c r="A114" s="466"/>
    </row>
    <row r="115" spans="1:17" ht="14.15" customHeight="1" x14ac:dyDescent="0.25">
      <c r="A115" s="104" t="s">
        <v>205</v>
      </c>
      <c r="B115" s="97"/>
      <c r="C115" s="97"/>
      <c r="D115" s="97"/>
      <c r="E115" s="97"/>
      <c r="F115" s="97"/>
      <c r="G115" s="97"/>
      <c r="H115" s="97"/>
      <c r="I115" s="97"/>
      <c r="J115" s="97"/>
      <c r="K115" s="97"/>
      <c r="L115" s="97"/>
      <c r="M115" s="97"/>
      <c r="N115" s="97"/>
      <c r="O115" s="97"/>
      <c r="P115" s="97"/>
      <c r="Q115" s="97"/>
    </row>
    <row r="116" spans="1:17" x14ac:dyDescent="0.25">
      <c r="A116" s="839"/>
    </row>
    <row r="117" spans="1:17" x14ac:dyDescent="0.25">
      <c r="A117" s="839" t="s">
        <v>206</v>
      </c>
    </row>
    <row r="118" spans="1:17" x14ac:dyDescent="0.25">
      <c r="A118" s="145" t="s">
        <v>207</v>
      </c>
      <c r="B118" s="247"/>
      <c r="C118" s="247"/>
    </row>
    <row r="119" spans="1:17" x14ac:dyDescent="0.25">
      <c r="A119" s="844" t="s">
        <v>208</v>
      </c>
      <c r="B119" s="247"/>
      <c r="C119" s="247"/>
    </row>
    <row r="120" spans="1:17" x14ac:dyDescent="0.25">
      <c r="A120" s="145" t="s">
        <v>209</v>
      </c>
    </row>
    <row r="121" spans="1:17" x14ac:dyDescent="0.25">
      <c r="A121" s="59" t="s">
        <v>210</v>
      </c>
      <c r="B121" s="247"/>
      <c r="C121" s="247"/>
    </row>
    <row r="122" spans="1:17" x14ac:dyDescent="0.25">
      <c r="B122" s="247"/>
      <c r="C122" s="247"/>
    </row>
    <row r="123" spans="1:17" x14ac:dyDescent="0.25">
      <c r="A123" s="839" t="s">
        <v>211</v>
      </c>
    </row>
    <row r="124" spans="1:17" x14ac:dyDescent="0.25">
      <c r="A124" s="145" t="s">
        <v>212</v>
      </c>
    </row>
    <row r="125" spans="1:17" x14ac:dyDescent="0.25">
      <c r="A125" s="145" t="s">
        <v>213</v>
      </c>
    </row>
    <row r="126" spans="1:17" x14ac:dyDescent="0.25">
      <c r="A126" s="145" t="s">
        <v>214</v>
      </c>
    </row>
    <row r="127" spans="1:17" x14ac:dyDescent="0.25">
      <c r="A127" s="145" t="s">
        <v>215</v>
      </c>
    </row>
    <row r="128" spans="1:17" x14ac:dyDescent="0.25">
      <c r="A128" s="145" t="s">
        <v>216</v>
      </c>
      <c r="B128" s="247"/>
      <c r="C128" s="247"/>
      <c r="D128" s="247"/>
      <c r="E128" s="247"/>
      <c r="F128" s="247"/>
      <c r="G128" s="247"/>
      <c r="H128" s="247"/>
      <c r="I128" s="247"/>
      <c r="J128" s="247"/>
      <c r="K128" s="247"/>
      <c r="L128" s="247"/>
      <c r="M128" s="247"/>
      <c r="N128" s="247"/>
      <c r="O128" s="247"/>
      <c r="P128" s="247"/>
    </row>
    <row r="129" spans="1:16" x14ac:dyDescent="0.25">
      <c r="A129" s="59" t="s">
        <v>217</v>
      </c>
      <c r="B129" s="247"/>
      <c r="C129" s="247"/>
      <c r="D129" s="247"/>
      <c r="E129" s="247"/>
      <c r="F129" s="247"/>
      <c r="G129" s="247"/>
      <c r="H129" s="247"/>
      <c r="I129" s="247"/>
      <c r="J129" s="247"/>
      <c r="K129" s="247"/>
      <c r="L129" s="247"/>
      <c r="M129" s="247"/>
      <c r="N129" s="247"/>
      <c r="O129" s="247"/>
      <c r="P129" s="247"/>
    </row>
  </sheetData>
  <sheetProtection algorithmName="SHA-512" hashValue="U4HZ1uBjCeH/YzyYSrKMQOYxVoIumm19w8+RQfoKYtHf+JFyC+mKk/C8EeOdrxfgBwIsq1AJkpKoER9Oh6365g==" saltValue="icgmxzDd+4xRAKbqDhmclw==" spinCount="100000" sheet="1" formatColumns="0" formatRows="0"/>
  <mergeCells count="1">
    <mergeCell ref="D47:M47"/>
  </mergeCells>
  <hyperlinks>
    <hyperlink ref="D47:M47" r:id="rId1" display="Subsidiespelregels ministerie van Economische Zaken en Klimaat | RVO.nl" xr:uid="{00000000-0004-0000-0100-000000000000}"/>
  </hyperlinks>
  <pageMargins left="0.23622047244094488" right="0.23622047244094488" top="0.74803149606299213" bottom="0.74803149606299213" header="0.31496062992125984" footer="0.31496062992125984"/>
  <pageSetup paperSize="9" scale="65"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FFFF00"/>
    <pageSetUpPr fitToPage="1"/>
  </sheetPr>
  <dimension ref="A1:N21"/>
  <sheetViews>
    <sheetView showGridLines="0" topLeftCell="C1" zoomScaleNormal="100" workbookViewId="0">
      <selection activeCell="D13" sqref="D13"/>
    </sheetView>
  </sheetViews>
  <sheetFormatPr defaultColWidth="8" defaultRowHeight="11.5" x14ac:dyDescent="0.25"/>
  <cols>
    <col min="1" max="1" width="27.453125" style="12" bestFit="1" customWidth="1"/>
    <col min="2" max="3" width="49.7265625" style="12" customWidth="1"/>
    <col min="4" max="4" width="8" style="12" customWidth="1"/>
    <col min="5" max="16384" width="8" style="12"/>
  </cols>
  <sheetData>
    <row r="1" spans="1:14" x14ac:dyDescent="0.25">
      <c r="A1" s="19"/>
      <c r="B1" s="20"/>
      <c r="C1" s="21"/>
    </row>
    <row r="2" spans="1:14" ht="18.5" x14ac:dyDescent="0.25">
      <c r="A2" s="1140" t="s">
        <v>218</v>
      </c>
      <c r="B2" s="1140"/>
      <c r="C2" s="1140"/>
      <c r="D2" s="22"/>
    </row>
    <row r="4" spans="1:14" x14ac:dyDescent="0.25">
      <c r="A4" s="23" t="s">
        <v>219</v>
      </c>
      <c r="B4" s="1027" t="s">
        <v>220</v>
      </c>
      <c r="C4" s="23"/>
    </row>
    <row r="5" spans="1:14" x14ac:dyDescent="0.25">
      <c r="A5" s="23"/>
      <c r="B5" s="24"/>
      <c r="C5" s="23"/>
      <c r="D5" s="23"/>
    </row>
    <row r="6" spans="1:14" x14ac:dyDescent="0.25">
      <c r="A6" s="23" t="s">
        <v>221</v>
      </c>
      <c r="B6" s="179" t="s">
        <v>2</v>
      </c>
      <c r="C6" s="180"/>
      <c r="D6" s="23"/>
      <c r="E6" s="61"/>
      <c r="F6" s="61"/>
      <c r="G6" s="61"/>
    </row>
    <row r="7" spans="1:14" x14ac:dyDescent="0.25">
      <c r="A7" s="23" t="s">
        <v>222</v>
      </c>
      <c r="B7" s="189"/>
      <c r="C7" s="190"/>
      <c r="D7" s="23"/>
    </row>
    <row r="8" spans="1:14" ht="15" customHeight="1" x14ac:dyDescent="0.25">
      <c r="A8" s="23"/>
    </row>
    <row r="9" spans="1:14" ht="12.75" customHeight="1" x14ac:dyDescent="0.25">
      <c r="A9" s="23"/>
      <c r="B9" s="351" t="s">
        <v>223</v>
      </c>
      <c r="C9" s="352"/>
    </row>
    <row r="10" spans="1:14" ht="12.75" customHeight="1" x14ac:dyDescent="0.25">
      <c r="A10" s="23"/>
      <c r="B10" s="351" t="s">
        <v>224</v>
      </c>
      <c r="C10" s="352"/>
    </row>
    <row r="11" spans="1:14" ht="15" customHeight="1" x14ac:dyDescent="0.25">
      <c r="A11" s="23"/>
      <c r="B11" s="25" t="s">
        <v>225</v>
      </c>
      <c r="C11" s="25" t="s">
        <v>226</v>
      </c>
      <c r="D11" s="26"/>
    </row>
    <row r="12" spans="1:14" ht="15" customHeight="1" x14ac:dyDescent="0.25">
      <c r="A12" s="23"/>
      <c r="B12" s="191"/>
      <c r="C12" s="191"/>
      <c r="D12" s="351" t="s">
        <v>227</v>
      </c>
      <c r="E12" s="352"/>
      <c r="F12" s="352"/>
      <c r="G12" s="352"/>
      <c r="H12" s="352"/>
      <c r="I12" s="352"/>
      <c r="J12" s="352"/>
      <c r="K12" s="352"/>
      <c r="L12" s="352"/>
      <c r="M12" s="352"/>
      <c r="N12" s="352"/>
    </row>
    <row r="13" spans="1:14" ht="15" customHeight="1" x14ac:dyDescent="0.25">
      <c r="A13" s="23" t="s">
        <v>228</v>
      </c>
      <c r="B13" s="183">
        <f>IFERROR(DATEDIF(Startdatum,Einddatum,"Y")+ (DATEDIF(Startdatum,Einddatum,"YD")/365),"")</f>
        <v>0</v>
      </c>
      <c r="C13" s="184" t="s">
        <v>229</v>
      </c>
      <c r="D13" s="28" t="str">
        <f>IF(B13&gt;7,"←Let op: maximale looptijd is 7 jaar","")</f>
        <v/>
      </c>
    </row>
    <row r="14" spans="1:14" x14ac:dyDescent="0.25">
      <c r="B14" s="174"/>
      <c r="C14" s="23"/>
      <c r="D14" s="27"/>
    </row>
    <row r="15" spans="1:14" ht="12.75" customHeight="1" x14ac:dyDescent="0.25">
      <c r="A15" s="206"/>
      <c r="B15" s="207" t="s">
        <v>230</v>
      </c>
      <c r="C15" s="207" t="s">
        <v>231</v>
      </c>
    </row>
    <row r="16" spans="1:14" x14ac:dyDescent="0.25">
      <c r="A16" s="205" t="s">
        <v>232</v>
      </c>
      <c r="B16" s="192"/>
      <c r="C16" s="192"/>
      <c r="I16" s="62"/>
    </row>
    <row r="17" spans="4:4" x14ac:dyDescent="0.25">
      <c r="D17" s="23"/>
    </row>
    <row r="18" spans="4:4" x14ac:dyDescent="0.25">
      <c r="D18" s="23"/>
    </row>
    <row r="21" spans="4:4" customFormat="1" ht="12.5" x14ac:dyDescent="0.25"/>
  </sheetData>
  <sheetProtection algorithmName="SHA-512" hashValue="jFJcxjnWx62sFmcFYWVKAb1RzPqLB4TGMalonOmAkUj78X2EVzxrdFsmTY8RWUGBkgpC0i52PYNSRVm3uAzAbw==" saltValue="V1nojF9uPUgyGSSF7t1qzA==" spinCount="100000" sheet="1" formatColumns="0" formatRows="0"/>
  <mergeCells count="1">
    <mergeCell ref="A2:C2"/>
  </mergeCells>
  <phoneticPr fontId="8" type="noConversion"/>
  <dataValidations xWindow="409" yWindow="459" count="3">
    <dataValidation type="date" operator="lessThan" allowBlank="1" showInputMessage="1" showErrorMessage="1" error="De looptijd van het project mag maximaal 7 jaar bedragen" sqref="C12" xr:uid="{00000000-0002-0000-0200-000001000000}">
      <formula1>DATE(YEAR(B12)+7,MONTH(B12),DAY(B12))</formula1>
    </dataValidation>
    <dataValidation allowBlank="1" showInputMessage="1" showErrorMessage="1" prompt="Het jaartal van de opgegeven datum wordt ook gebruikt als jaar 1 in de exploitatieberekening." sqref="B12" xr:uid="{4EC33D6C-DB5B-4A9B-864C-5BBB3D7FB7F4}"/>
    <dataValidation type="list" allowBlank="1" showInputMessage="1" showErrorMessage="1" sqref="C16" xr:uid="{2DC37304-F07A-4DD3-B722-728F0471D231}">
      <formula1>Organisatietype</formula1>
    </dataValidation>
  </dataValidations>
  <pageMargins left="0.39370078740157483" right="0.19685039370078741" top="0.19685039370078741" bottom="0.43307086614173229" header="0.47244094488188981" footer="0.11811023622047245"/>
  <pageSetup paperSize="9" fitToWidth="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82">
    <tabColor rgb="FFFFFF00"/>
    <pageSetUpPr fitToPage="1"/>
  </sheetPr>
  <dimension ref="A1:Y275"/>
  <sheetViews>
    <sheetView showGridLines="0" topLeftCell="A50" zoomScale="90" zoomScaleNormal="90" zoomScaleSheetLayoutView="100" workbookViewId="0">
      <selection activeCell="H147" activeCellId="4" sqref="G64 G86 G109 G145:G146 H147"/>
    </sheetView>
  </sheetViews>
  <sheetFormatPr defaultColWidth="8" defaultRowHeight="11.5" x14ac:dyDescent="0.25"/>
  <cols>
    <col min="1" max="1" width="2" style="544" customWidth="1"/>
    <col min="2" max="2" width="10" style="513" customWidth="1"/>
    <col min="3" max="3" width="11.1796875" style="513" customWidth="1"/>
    <col min="4" max="4" width="19.26953125" style="513" customWidth="1"/>
    <col min="5" max="5" width="39.81640625" style="513" customWidth="1"/>
    <col min="6" max="6" width="22.7265625" style="513" customWidth="1"/>
    <col min="7" max="7" width="19.26953125" style="513" customWidth="1"/>
    <col min="8" max="8" width="17.1796875" style="513" customWidth="1"/>
    <col min="9" max="9" width="16.26953125" style="593" customWidth="1"/>
    <col min="10" max="10" width="16.26953125" style="513" customWidth="1"/>
    <col min="11" max="11" width="16.453125" style="515" customWidth="1"/>
    <col min="12" max="12" width="15.453125" style="513" customWidth="1"/>
    <col min="13" max="13" width="14.26953125" style="513" customWidth="1"/>
    <col min="14" max="14" width="16.453125" style="513" customWidth="1"/>
    <col min="15" max="15" width="15.453125" style="513" customWidth="1"/>
    <col min="16" max="16" width="14.453125" style="513" customWidth="1"/>
    <col min="17" max="17" width="17.453125" style="513" customWidth="1"/>
    <col min="18" max="20" width="17.26953125" style="513" customWidth="1"/>
    <col min="21" max="21" width="19.453125" style="513" customWidth="1"/>
    <col min="22" max="22" width="13.26953125" style="513" customWidth="1"/>
    <col min="23" max="23" width="14.7265625" style="513" customWidth="1"/>
    <col min="24" max="16384" width="8" style="513"/>
  </cols>
  <sheetData>
    <row r="1" spans="1:17" x14ac:dyDescent="0.25">
      <c r="A1" s="512"/>
      <c r="C1" s="512"/>
      <c r="D1" s="512"/>
      <c r="E1" s="512"/>
      <c r="F1" s="514" t="str">
        <f>IF(Project!B4="[Dit veld wordt door RVO ingevuld]","",Project!B4)</f>
        <v>[Dit veld vult RVO in]</v>
      </c>
      <c r="G1" s="514"/>
      <c r="H1" s="514"/>
      <c r="I1" s="512"/>
    </row>
    <row r="2" spans="1:17" ht="18.5" x14ac:dyDescent="0.25">
      <c r="A2" s="512"/>
      <c r="B2" s="516" t="s">
        <v>233</v>
      </c>
      <c r="C2" s="512"/>
      <c r="D2" s="512"/>
      <c r="E2" s="512"/>
      <c r="F2" s="512"/>
      <c r="G2" s="512"/>
      <c r="H2" s="512"/>
      <c r="I2" s="517"/>
    </row>
    <row r="3" spans="1:17" x14ac:dyDescent="0.25">
      <c r="A3" s="512"/>
      <c r="B3" s="512"/>
      <c r="C3" s="512"/>
      <c r="D3" s="512"/>
      <c r="E3" s="512"/>
      <c r="F3" s="512"/>
      <c r="G3" s="512"/>
      <c r="H3" s="512"/>
      <c r="I3" s="512"/>
      <c r="K3" s="518"/>
    </row>
    <row r="4" spans="1:17" s="393" customFormat="1" ht="13.5" x14ac:dyDescent="0.25">
      <c r="A4" s="519"/>
      <c r="B4" s="520" t="s">
        <v>234</v>
      </c>
      <c r="C4" s="520"/>
      <c r="D4" s="521"/>
      <c r="E4" s="521"/>
      <c r="F4" s="521"/>
      <c r="G4" s="521"/>
      <c r="H4" s="521"/>
      <c r="I4" s="521"/>
      <c r="J4" s="521"/>
      <c r="K4" s="522"/>
      <c r="L4" s="523"/>
      <c r="M4" s="523"/>
      <c r="N4" s="523"/>
      <c r="O4" s="523"/>
      <c r="P4" s="523"/>
      <c r="Q4" s="523"/>
    </row>
    <row r="5" spans="1:17" ht="11.25" customHeight="1" thickBot="1" x14ac:dyDescent="0.3">
      <c r="A5" s="512"/>
      <c r="B5" s="524"/>
      <c r="C5" s="524"/>
      <c r="D5" s="512"/>
      <c r="E5" s="512"/>
      <c r="F5" s="512"/>
      <c r="G5" s="512"/>
      <c r="H5" s="512"/>
      <c r="I5" s="512"/>
      <c r="K5" s="525"/>
    </row>
    <row r="6" spans="1:17" ht="13.5" customHeight="1" x14ac:dyDescent="0.25">
      <c r="A6" s="512"/>
      <c r="B6" s="526" t="s">
        <v>235</v>
      </c>
      <c r="C6" s="526"/>
      <c r="D6" s="527"/>
      <c r="E6" s="1080">
        <f>Project!$B$16</f>
        <v>0</v>
      </c>
      <c r="F6" s="528"/>
      <c r="G6" s="529"/>
      <c r="H6" s="144"/>
      <c r="I6" s="144"/>
      <c r="K6" s="525"/>
    </row>
    <row r="7" spans="1:17" ht="13.5" customHeight="1" x14ac:dyDescent="0.25">
      <c r="A7" s="512"/>
      <c r="B7" s="530" t="s">
        <v>236</v>
      </c>
      <c r="C7" s="530"/>
      <c r="D7" s="531"/>
      <c r="E7" s="1081">
        <f>Project!$B$7</f>
        <v>0</v>
      </c>
      <c r="F7" s="533"/>
      <c r="G7" s="534"/>
      <c r="H7" s="144"/>
      <c r="I7" s="144"/>
    </row>
    <row r="8" spans="1:17" ht="13.5" customHeight="1" x14ac:dyDescent="0.25">
      <c r="A8" s="512"/>
      <c r="B8" s="535" t="s">
        <v>237</v>
      </c>
      <c r="C8" s="536"/>
      <c r="D8" s="537"/>
      <c r="E8" s="538" t="s">
        <v>238</v>
      </c>
      <c r="F8" s="539"/>
      <c r="G8" s="845"/>
      <c r="H8" s="144"/>
      <c r="I8" s="144"/>
      <c r="J8" s="540"/>
      <c r="K8" s="540"/>
    </row>
    <row r="9" spans="1:17" ht="13.5" customHeight="1" x14ac:dyDescent="0.25">
      <c r="A9" s="512"/>
      <c r="B9" s="541" t="s">
        <v>239</v>
      </c>
      <c r="C9" s="530"/>
      <c r="D9" s="531"/>
      <c r="E9" s="532" t="str">
        <f>"Vast uurtatief van €"&amp;Uurtarief</f>
        <v>Vast uurtatief van €65</v>
      </c>
      <c r="F9" s="533"/>
      <c r="G9" s="534"/>
      <c r="H9" s="144"/>
      <c r="I9" s="144"/>
      <c r="J9" s="540"/>
      <c r="K9" s="540"/>
      <c r="L9" s="540"/>
      <c r="M9" s="540"/>
    </row>
    <row r="10" spans="1:17" ht="13.5" customHeight="1" thickBot="1" x14ac:dyDescent="0.3">
      <c r="A10" s="512"/>
      <c r="B10" s="530" t="s">
        <v>240</v>
      </c>
      <c r="C10" s="530"/>
      <c r="D10" s="531"/>
      <c r="E10" s="542" t="s">
        <v>2</v>
      </c>
      <c r="F10" s="543"/>
      <c r="G10" s="846"/>
      <c r="H10" s="144"/>
      <c r="I10" s="144"/>
      <c r="J10" s="540"/>
      <c r="K10" s="540"/>
    </row>
    <row r="11" spans="1:17" ht="11.25" customHeight="1" x14ac:dyDescent="0.25">
      <c r="E11" s="170"/>
      <c r="F11" s="170"/>
      <c r="G11" s="170"/>
      <c r="H11" s="170"/>
      <c r="I11" s="170"/>
      <c r="J11" s="170"/>
    </row>
    <row r="12" spans="1:17" x14ac:dyDescent="0.25">
      <c r="B12" s="545"/>
      <c r="C12" s="546"/>
      <c r="D12" s="545"/>
      <c r="E12" s="170"/>
      <c r="F12" s="170"/>
      <c r="G12" s="170"/>
      <c r="H12" s="170"/>
      <c r="I12" s="170"/>
      <c r="J12" s="170"/>
    </row>
    <row r="13" spans="1:17" s="393" customFormat="1" ht="13.5" x14ac:dyDescent="0.25">
      <c r="A13" s="391"/>
      <c r="B13" s="520" t="s">
        <v>241</v>
      </c>
      <c r="C13" s="547"/>
      <c r="D13" s="548"/>
      <c r="E13" s="548"/>
      <c r="F13" s="548"/>
      <c r="G13" s="548"/>
      <c r="H13" s="548"/>
      <c r="I13" s="549"/>
      <c r="J13" s="549"/>
      <c r="K13" s="549"/>
      <c r="L13" s="549"/>
      <c r="M13" s="549"/>
      <c r="N13" s="549"/>
      <c r="O13" s="549"/>
      <c r="P13" s="549"/>
      <c r="Q13" s="549"/>
    </row>
    <row r="14" spans="1:17" x14ac:dyDescent="0.25">
      <c r="D14" s="545"/>
      <c r="E14" s="545"/>
      <c r="F14" s="545"/>
      <c r="G14" s="545"/>
      <c r="H14" s="545"/>
      <c r="I14" s="550"/>
      <c r="J14" s="550"/>
      <c r="K14" s="550"/>
      <c r="L14" s="550"/>
      <c r="M14" s="550"/>
      <c r="N14" s="550"/>
      <c r="O14" s="550"/>
      <c r="P14" s="550"/>
    </row>
    <row r="15" spans="1:17" s="393" customFormat="1" ht="13.5" x14ac:dyDescent="0.25">
      <c r="A15" s="391"/>
      <c r="B15" s="520" t="s">
        <v>242</v>
      </c>
      <c r="C15" s="520"/>
      <c r="D15" s="520"/>
      <c r="E15" s="520"/>
      <c r="F15" s="520"/>
      <c r="G15" s="520"/>
      <c r="H15" s="520"/>
      <c r="I15" s="520"/>
      <c r="J15" s="520"/>
      <c r="K15" s="520"/>
      <c r="L15" s="520"/>
      <c r="M15" s="520"/>
      <c r="N15" s="520"/>
      <c r="O15" s="520"/>
      <c r="P15" s="520"/>
      <c r="Q15" s="520"/>
    </row>
    <row r="16" spans="1:17" ht="12" thickBot="1" x14ac:dyDescent="0.3">
      <c r="B16" s="869" t="s">
        <v>243</v>
      </c>
      <c r="C16" s="170"/>
      <c r="D16" s="28"/>
      <c r="E16" s="28"/>
      <c r="F16" s="551"/>
      <c r="G16" s="551"/>
      <c r="H16" s="551"/>
      <c r="I16" s="550"/>
      <c r="J16" s="550"/>
      <c r="K16" s="550"/>
      <c r="L16" s="550"/>
      <c r="M16" s="550"/>
      <c r="N16" s="550"/>
      <c r="O16" s="550"/>
      <c r="P16" s="550"/>
    </row>
    <row r="17" spans="1:17" s="551" customFormat="1" ht="32.9" customHeight="1" x14ac:dyDescent="0.25">
      <c r="A17" s="552"/>
      <c r="B17" s="936" t="s">
        <v>244</v>
      </c>
      <c r="C17" s="937" t="s">
        <v>245</v>
      </c>
      <c r="D17" s="938"/>
      <c r="E17" s="939" t="s">
        <v>246</v>
      </c>
      <c r="F17" s="940"/>
      <c r="G17" s="941"/>
      <c r="H17" s="942" t="s">
        <v>247</v>
      </c>
      <c r="I17" s="943" t="s">
        <v>248</v>
      </c>
      <c r="J17" s="1141"/>
      <c r="K17" s="1142"/>
      <c r="L17" s="1142"/>
      <c r="M17" s="1142"/>
      <c r="N17" s="1142"/>
      <c r="O17" s="1142"/>
      <c r="P17" s="1143"/>
      <c r="Q17" s="944" t="s">
        <v>249</v>
      </c>
    </row>
    <row r="18" spans="1:17" ht="14.15" customHeight="1" x14ac:dyDescent="0.25">
      <c r="B18" s="945"/>
      <c r="C18" s="865"/>
      <c r="D18" s="835"/>
      <c r="E18" s="865"/>
      <c r="F18" s="835"/>
      <c r="G18" s="866"/>
      <c r="H18" s="559">
        <f t="shared" ref="H18:H23" si="0">Uurtarief</f>
        <v>65</v>
      </c>
      <c r="I18" s="834"/>
      <c r="J18" s="1112"/>
      <c r="K18" s="656"/>
      <c r="L18" s="656"/>
      <c r="M18" s="656"/>
      <c r="N18" s="656"/>
      <c r="O18" s="656"/>
      <c r="P18" s="1113"/>
      <c r="Q18" s="946">
        <f>H18*I18</f>
        <v>0</v>
      </c>
    </row>
    <row r="19" spans="1:17" ht="14.15" customHeight="1" x14ac:dyDescent="0.25">
      <c r="B19" s="945"/>
      <c r="C19" s="865"/>
      <c r="D19" s="835"/>
      <c r="E19" s="865"/>
      <c r="F19" s="835"/>
      <c r="G19" s="866"/>
      <c r="H19" s="559">
        <f t="shared" si="0"/>
        <v>65</v>
      </c>
      <c r="I19" s="834"/>
      <c r="J19" s="1112"/>
      <c r="K19" s="656"/>
      <c r="L19" s="656"/>
      <c r="M19" s="656"/>
      <c r="N19" s="656"/>
      <c r="O19" s="656"/>
      <c r="P19" s="1113"/>
      <c r="Q19" s="946">
        <f t="shared" ref="Q19:Q40" si="1">H19*I19</f>
        <v>0</v>
      </c>
    </row>
    <row r="20" spans="1:17" ht="14.15" customHeight="1" x14ac:dyDescent="0.25">
      <c r="B20" s="945"/>
      <c r="C20" s="865"/>
      <c r="D20" s="836"/>
      <c r="E20" s="865"/>
      <c r="F20" s="835"/>
      <c r="G20" s="866"/>
      <c r="H20" s="559">
        <f t="shared" si="0"/>
        <v>65</v>
      </c>
      <c r="I20" s="834"/>
      <c r="J20" s="1112"/>
      <c r="K20" s="656"/>
      <c r="L20" s="656"/>
      <c r="M20" s="656"/>
      <c r="N20" s="656"/>
      <c r="O20" s="656"/>
      <c r="P20" s="1113"/>
      <c r="Q20" s="946">
        <f t="shared" si="1"/>
        <v>0</v>
      </c>
    </row>
    <row r="21" spans="1:17" ht="14.15" customHeight="1" x14ac:dyDescent="0.25">
      <c r="B21" s="945"/>
      <c r="C21" s="865"/>
      <c r="D21" s="835"/>
      <c r="E21" s="865"/>
      <c r="F21" s="835"/>
      <c r="G21" s="866"/>
      <c r="H21" s="559">
        <f t="shared" si="0"/>
        <v>65</v>
      </c>
      <c r="I21" s="834"/>
      <c r="J21" s="1112"/>
      <c r="K21" s="656"/>
      <c r="L21" s="656"/>
      <c r="M21" s="656"/>
      <c r="N21" s="656"/>
      <c r="O21" s="656"/>
      <c r="P21" s="1113"/>
      <c r="Q21" s="946">
        <f t="shared" si="1"/>
        <v>0</v>
      </c>
    </row>
    <row r="22" spans="1:17" ht="14.15" customHeight="1" x14ac:dyDescent="0.25">
      <c r="B22" s="945"/>
      <c r="C22" s="865"/>
      <c r="D22" s="835"/>
      <c r="E22" s="865"/>
      <c r="F22" s="835"/>
      <c r="G22" s="866"/>
      <c r="H22" s="559">
        <f t="shared" si="0"/>
        <v>65</v>
      </c>
      <c r="I22" s="834"/>
      <c r="J22" s="1112"/>
      <c r="K22" s="656"/>
      <c r="L22" s="656"/>
      <c r="M22" s="656"/>
      <c r="N22" s="656"/>
      <c r="O22" s="656"/>
      <c r="P22" s="1113"/>
      <c r="Q22" s="946">
        <f t="shared" si="1"/>
        <v>0</v>
      </c>
    </row>
    <row r="23" spans="1:17" ht="14.15" customHeight="1" x14ac:dyDescent="0.25">
      <c r="B23" s="945"/>
      <c r="C23" s="865"/>
      <c r="D23" s="835"/>
      <c r="E23" s="865"/>
      <c r="F23" s="835"/>
      <c r="G23" s="866"/>
      <c r="H23" s="559">
        <f t="shared" si="0"/>
        <v>65</v>
      </c>
      <c r="I23" s="834"/>
      <c r="J23" s="1112"/>
      <c r="K23" s="656"/>
      <c r="L23" s="656"/>
      <c r="M23" s="656"/>
      <c r="N23" s="656"/>
      <c r="O23" s="656"/>
      <c r="P23" s="1113"/>
      <c r="Q23" s="946">
        <f t="shared" si="1"/>
        <v>0</v>
      </c>
    </row>
    <row r="24" spans="1:17" ht="14.15" customHeight="1" x14ac:dyDescent="0.25">
      <c r="B24" s="945"/>
      <c r="C24" s="865"/>
      <c r="D24" s="835"/>
      <c r="E24" s="865"/>
      <c r="F24" s="835"/>
      <c r="G24" s="866"/>
      <c r="H24" s="559">
        <f t="shared" ref="H24:H40" si="2">Uurtarief</f>
        <v>65</v>
      </c>
      <c r="I24" s="834"/>
      <c r="J24" s="1112"/>
      <c r="K24" s="656"/>
      <c r="L24" s="656"/>
      <c r="M24" s="656"/>
      <c r="N24" s="656"/>
      <c r="O24" s="656"/>
      <c r="P24" s="1113"/>
      <c r="Q24" s="946">
        <f t="shared" si="1"/>
        <v>0</v>
      </c>
    </row>
    <row r="25" spans="1:17" ht="14.15" customHeight="1" x14ac:dyDescent="0.25">
      <c r="B25" s="945"/>
      <c r="C25" s="865"/>
      <c r="D25" s="835"/>
      <c r="E25" s="865"/>
      <c r="F25" s="835"/>
      <c r="G25" s="866"/>
      <c r="H25" s="559">
        <f t="shared" si="2"/>
        <v>65</v>
      </c>
      <c r="I25" s="834"/>
      <c r="J25" s="1112"/>
      <c r="K25" s="656"/>
      <c r="L25" s="656"/>
      <c r="M25" s="656"/>
      <c r="N25" s="656"/>
      <c r="O25" s="656"/>
      <c r="P25" s="1113"/>
      <c r="Q25" s="946">
        <f t="shared" si="1"/>
        <v>0</v>
      </c>
    </row>
    <row r="26" spans="1:17" ht="14.15" customHeight="1" x14ac:dyDescent="0.25">
      <c r="B26" s="945"/>
      <c r="C26" s="865"/>
      <c r="D26" s="835"/>
      <c r="E26" s="865"/>
      <c r="F26" s="835"/>
      <c r="G26" s="866"/>
      <c r="H26" s="559">
        <f t="shared" si="2"/>
        <v>65</v>
      </c>
      <c r="I26" s="834"/>
      <c r="J26" s="1112"/>
      <c r="K26" s="656"/>
      <c r="L26" s="656"/>
      <c r="M26" s="656"/>
      <c r="N26" s="656"/>
      <c r="O26" s="656"/>
      <c r="P26" s="1113"/>
      <c r="Q26" s="946">
        <f t="shared" si="1"/>
        <v>0</v>
      </c>
    </row>
    <row r="27" spans="1:17" ht="14.15" customHeight="1" x14ac:dyDescent="0.25">
      <c r="B27" s="945"/>
      <c r="C27" s="865"/>
      <c r="D27" s="835"/>
      <c r="E27" s="865"/>
      <c r="F27" s="835"/>
      <c r="G27" s="866"/>
      <c r="H27" s="559">
        <f t="shared" si="2"/>
        <v>65</v>
      </c>
      <c r="I27" s="834"/>
      <c r="J27" s="1112"/>
      <c r="K27" s="656"/>
      <c r="L27" s="656"/>
      <c r="M27" s="656"/>
      <c r="N27" s="656"/>
      <c r="O27" s="656"/>
      <c r="P27" s="1113"/>
      <c r="Q27" s="946">
        <f t="shared" si="1"/>
        <v>0</v>
      </c>
    </row>
    <row r="28" spans="1:17" ht="14.15" customHeight="1" x14ac:dyDescent="0.25">
      <c r="B28" s="945"/>
      <c r="C28" s="865"/>
      <c r="D28" s="835"/>
      <c r="E28" s="865"/>
      <c r="F28" s="835"/>
      <c r="G28" s="866"/>
      <c r="H28" s="559">
        <f t="shared" si="2"/>
        <v>65</v>
      </c>
      <c r="I28" s="834"/>
      <c r="J28" s="1112"/>
      <c r="K28" s="656"/>
      <c r="L28" s="656"/>
      <c r="M28" s="656"/>
      <c r="N28" s="656"/>
      <c r="O28" s="656"/>
      <c r="P28" s="1113"/>
      <c r="Q28" s="946">
        <f t="shared" si="1"/>
        <v>0</v>
      </c>
    </row>
    <row r="29" spans="1:17" ht="14.15" customHeight="1" x14ac:dyDescent="0.25">
      <c r="B29" s="945"/>
      <c r="C29" s="865"/>
      <c r="D29" s="835"/>
      <c r="E29" s="865"/>
      <c r="F29" s="835"/>
      <c r="G29" s="866"/>
      <c r="H29" s="559">
        <f t="shared" si="2"/>
        <v>65</v>
      </c>
      <c r="I29" s="834"/>
      <c r="J29" s="1112"/>
      <c r="K29" s="656"/>
      <c r="L29" s="656"/>
      <c r="M29" s="656"/>
      <c r="N29" s="656"/>
      <c r="O29" s="656"/>
      <c r="P29" s="1113"/>
      <c r="Q29" s="946">
        <f t="shared" si="1"/>
        <v>0</v>
      </c>
    </row>
    <row r="30" spans="1:17" ht="14.15" customHeight="1" x14ac:dyDescent="0.25">
      <c r="B30" s="945"/>
      <c r="C30" s="865"/>
      <c r="D30" s="835"/>
      <c r="E30" s="865"/>
      <c r="F30" s="835"/>
      <c r="G30" s="866"/>
      <c r="H30" s="559">
        <f t="shared" si="2"/>
        <v>65</v>
      </c>
      <c r="I30" s="834"/>
      <c r="J30" s="1112"/>
      <c r="K30" s="656"/>
      <c r="L30" s="656"/>
      <c r="M30" s="656"/>
      <c r="N30" s="656"/>
      <c r="O30" s="656"/>
      <c r="P30" s="1113"/>
      <c r="Q30" s="946">
        <f t="shared" si="1"/>
        <v>0</v>
      </c>
    </row>
    <row r="31" spans="1:17" ht="14.15" customHeight="1" x14ac:dyDescent="0.25">
      <c r="B31" s="945"/>
      <c r="C31" s="865"/>
      <c r="D31" s="835"/>
      <c r="E31" s="865"/>
      <c r="F31" s="835"/>
      <c r="G31" s="866"/>
      <c r="H31" s="559">
        <f t="shared" si="2"/>
        <v>65</v>
      </c>
      <c r="I31" s="834"/>
      <c r="J31" s="1112"/>
      <c r="K31" s="656"/>
      <c r="L31" s="656"/>
      <c r="M31" s="656"/>
      <c r="N31" s="656"/>
      <c r="O31" s="656"/>
      <c r="P31" s="1113"/>
      <c r="Q31" s="946">
        <f t="shared" si="1"/>
        <v>0</v>
      </c>
    </row>
    <row r="32" spans="1:17" ht="14.15" customHeight="1" x14ac:dyDescent="0.25">
      <c r="B32" s="945"/>
      <c r="C32" s="865"/>
      <c r="D32" s="835"/>
      <c r="E32" s="865"/>
      <c r="F32" s="835"/>
      <c r="G32" s="866"/>
      <c r="H32" s="559">
        <f t="shared" si="2"/>
        <v>65</v>
      </c>
      <c r="I32" s="834"/>
      <c r="J32" s="1112"/>
      <c r="K32" s="656"/>
      <c r="L32" s="656"/>
      <c r="M32" s="656"/>
      <c r="N32" s="656"/>
      <c r="O32" s="656"/>
      <c r="P32" s="1113"/>
      <c r="Q32" s="946">
        <f t="shared" si="1"/>
        <v>0</v>
      </c>
    </row>
    <row r="33" spans="1:22" ht="14.15" customHeight="1" x14ac:dyDescent="0.25">
      <c r="B33" s="945"/>
      <c r="C33" s="865"/>
      <c r="D33" s="835"/>
      <c r="E33" s="865"/>
      <c r="F33" s="835"/>
      <c r="G33" s="866"/>
      <c r="H33" s="559">
        <f t="shared" si="2"/>
        <v>65</v>
      </c>
      <c r="I33" s="834"/>
      <c r="J33" s="1112"/>
      <c r="K33" s="656"/>
      <c r="L33" s="656"/>
      <c r="M33" s="656"/>
      <c r="N33" s="656"/>
      <c r="O33" s="656"/>
      <c r="P33" s="1113"/>
      <c r="Q33" s="946">
        <f t="shared" si="1"/>
        <v>0</v>
      </c>
    </row>
    <row r="34" spans="1:22" ht="14.15" customHeight="1" x14ac:dyDescent="0.25">
      <c r="B34" s="945"/>
      <c r="C34" s="865"/>
      <c r="D34" s="835"/>
      <c r="E34" s="865"/>
      <c r="F34" s="835"/>
      <c r="G34" s="866"/>
      <c r="H34" s="559">
        <f t="shared" si="2"/>
        <v>65</v>
      </c>
      <c r="I34" s="834"/>
      <c r="J34" s="1112"/>
      <c r="K34" s="656"/>
      <c r="L34" s="656"/>
      <c r="M34" s="656"/>
      <c r="N34" s="656"/>
      <c r="O34" s="656"/>
      <c r="P34" s="1113"/>
      <c r="Q34" s="946">
        <f t="shared" si="1"/>
        <v>0</v>
      </c>
    </row>
    <row r="35" spans="1:22" ht="14.15" customHeight="1" x14ac:dyDescent="0.25">
      <c r="B35" s="945"/>
      <c r="C35" s="865"/>
      <c r="D35" s="835"/>
      <c r="E35" s="865"/>
      <c r="F35" s="835"/>
      <c r="G35" s="866"/>
      <c r="H35" s="559">
        <f t="shared" si="2"/>
        <v>65</v>
      </c>
      <c r="I35" s="834"/>
      <c r="J35" s="1112"/>
      <c r="K35" s="656"/>
      <c r="L35" s="656"/>
      <c r="M35" s="656"/>
      <c r="N35" s="656"/>
      <c r="O35" s="656"/>
      <c r="P35" s="1113"/>
      <c r="Q35" s="946">
        <f t="shared" si="1"/>
        <v>0</v>
      </c>
    </row>
    <row r="36" spans="1:22" ht="14.15" customHeight="1" x14ac:dyDescent="0.25">
      <c r="B36" s="945"/>
      <c r="C36" s="865"/>
      <c r="D36" s="835"/>
      <c r="E36" s="865"/>
      <c r="F36" s="835"/>
      <c r="G36" s="866"/>
      <c r="H36" s="559">
        <f t="shared" si="2"/>
        <v>65</v>
      </c>
      <c r="I36" s="834"/>
      <c r="J36" s="1112"/>
      <c r="K36" s="656"/>
      <c r="L36" s="656"/>
      <c r="M36" s="656"/>
      <c r="N36" s="656"/>
      <c r="O36" s="656"/>
      <c r="P36" s="1113"/>
      <c r="Q36" s="946">
        <f t="shared" si="1"/>
        <v>0</v>
      </c>
    </row>
    <row r="37" spans="1:22" ht="14.15" customHeight="1" x14ac:dyDescent="0.25">
      <c r="B37" s="945"/>
      <c r="C37" s="865"/>
      <c r="D37" s="835"/>
      <c r="E37" s="865"/>
      <c r="F37" s="835"/>
      <c r="G37" s="866"/>
      <c r="H37" s="559">
        <f t="shared" si="2"/>
        <v>65</v>
      </c>
      <c r="I37" s="834"/>
      <c r="J37" s="1112"/>
      <c r="K37" s="656"/>
      <c r="L37" s="656"/>
      <c r="M37" s="656"/>
      <c r="N37" s="656"/>
      <c r="O37" s="656"/>
      <c r="P37" s="1113"/>
      <c r="Q37" s="946">
        <f t="shared" si="1"/>
        <v>0</v>
      </c>
    </row>
    <row r="38" spans="1:22" ht="14.15" customHeight="1" x14ac:dyDescent="0.25">
      <c r="B38" s="945"/>
      <c r="C38" s="865"/>
      <c r="D38" s="835"/>
      <c r="E38" s="865"/>
      <c r="F38" s="835"/>
      <c r="G38" s="866"/>
      <c r="H38" s="559">
        <f t="shared" si="2"/>
        <v>65</v>
      </c>
      <c r="I38" s="834"/>
      <c r="J38" s="1112"/>
      <c r="K38" s="656"/>
      <c r="L38" s="656"/>
      <c r="M38" s="656"/>
      <c r="N38" s="656"/>
      <c r="O38" s="656"/>
      <c r="P38" s="1113"/>
      <c r="Q38" s="946">
        <f t="shared" si="1"/>
        <v>0</v>
      </c>
    </row>
    <row r="39" spans="1:22" ht="14.15" customHeight="1" x14ac:dyDescent="0.25">
      <c r="B39" s="945"/>
      <c r="C39" s="865"/>
      <c r="D39" s="835"/>
      <c r="E39" s="865"/>
      <c r="F39" s="835"/>
      <c r="G39" s="866"/>
      <c r="H39" s="559">
        <f t="shared" si="2"/>
        <v>65</v>
      </c>
      <c r="I39" s="834"/>
      <c r="J39" s="1112"/>
      <c r="K39" s="656"/>
      <c r="L39" s="656"/>
      <c r="M39" s="656"/>
      <c r="N39" s="656"/>
      <c r="O39" s="656"/>
      <c r="P39" s="1113"/>
      <c r="Q39" s="946">
        <f t="shared" si="1"/>
        <v>0</v>
      </c>
    </row>
    <row r="40" spans="1:22" ht="14.15" customHeight="1" thickBot="1" x14ac:dyDescent="0.3">
      <c r="B40" s="947"/>
      <c r="C40" s="948"/>
      <c r="D40" s="949"/>
      <c r="E40" s="948"/>
      <c r="F40" s="949"/>
      <c r="G40" s="950"/>
      <c r="H40" s="951">
        <f t="shared" si="2"/>
        <v>65</v>
      </c>
      <c r="I40" s="952"/>
      <c r="J40" s="1114"/>
      <c r="K40" s="1115"/>
      <c r="L40" s="1115"/>
      <c r="M40" s="1115"/>
      <c r="N40" s="1115"/>
      <c r="O40" s="1115"/>
      <c r="P40" s="1116"/>
      <c r="Q40" s="956">
        <f t="shared" si="1"/>
        <v>0</v>
      </c>
    </row>
    <row r="41" spans="1:22" ht="12" thickBot="1" x14ac:dyDescent="0.3">
      <c r="B41" s="561" t="s">
        <v>250</v>
      </c>
      <c r="D41" s="545"/>
      <c r="E41" s="545"/>
      <c r="F41" s="545"/>
      <c r="G41" s="545"/>
      <c r="H41" s="545"/>
      <c r="I41" s="562"/>
      <c r="J41" s="562"/>
      <c r="K41" s="562"/>
      <c r="L41" s="562"/>
      <c r="M41" s="562"/>
      <c r="N41" s="562"/>
      <c r="O41" s="562"/>
      <c r="P41" s="562"/>
      <c r="Q41" s="935">
        <f>SUM(Q18:Q40)</f>
        <v>0</v>
      </c>
    </row>
    <row r="42" spans="1:22" x14ac:dyDescent="0.25">
      <c r="D42" s="545"/>
      <c r="E42" s="545"/>
      <c r="F42" s="545"/>
      <c r="G42" s="545"/>
      <c r="H42" s="545"/>
      <c r="I42" s="550"/>
    </row>
    <row r="43" spans="1:22" x14ac:dyDescent="0.25">
      <c r="B43" s="870" t="s">
        <v>251</v>
      </c>
      <c r="C43" s="870"/>
      <c r="D43" s="870"/>
      <c r="E43" s="870"/>
      <c r="F43" s="870"/>
      <c r="G43" s="870"/>
      <c r="I43" s="563"/>
    </row>
    <row r="44" spans="1:22" s="393" customFormat="1" ht="13.5" x14ac:dyDescent="0.25">
      <c r="A44" s="391"/>
      <c r="B44" s="976" t="s">
        <v>153</v>
      </c>
      <c r="C44" s="976"/>
      <c r="D44" s="977"/>
      <c r="E44" s="978"/>
      <c r="F44" s="979"/>
      <c r="G44" s="979"/>
      <c r="H44" s="979"/>
      <c r="I44" s="980"/>
      <c r="J44" s="980"/>
      <c r="K44" s="980"/>
      <c r="L44" s="980"/>
      <c r="M44" s="980"/>
      <c r="N44" s="980"/>
      <c r="O44" s="980"/>
      <c r="P44" s="980"/>
      <c r="Q44" s="980"/>
    </row>
    <row r="45" spans="1:22" s="572" customFormat="1" ht="16.399999999999999" customHeight="1" x14ac:dyDescent="0.25">
      <c r="A45" s="567"/>
      <c r="B45" s="981" t="s">
        <v>252</v>
      </c>
      <c r="C45" s="982"/>
      <c r="D45" s="982"/>
      <c r="E45" s="982"/>
      <c r="F45" s="982"/>
      <c r="G45" s="982"/>
      <c r="H45" s="1149" t="s">
        <v>253</v>
      </c>
      <c r="I45" s="1149"/>
      <c r="J45" s="1149"/>
      <c r="K45" s="1149"/>
      <c r="L45" s="1149" t="s">
        <v>254</v>
      </c>
      <c r="M45" s="1149"/>
      <c r="N45" s="1149" t="s">
        <v>255</v>
      </c>
      <c r="O45" s="1149"/>
      <c r="P45" s="1149"/>
      <c r="Q45" s="1149"/>
      <c r="R45" s="570"/>
      <c r="S45" s="570"/>
      <c r="T45" s="570"/>
      <c r="U45" s="570"/>
      <c r="V45" s="571"/>
    </row>
    <row r="46" spans="1:22" s="570" customFormat="1" ht="59.9" customHeight="1" x14ac:dyDescent="0.25">
      <c r="A46" s="573"/>
      <c r="B46" s="966" t="s">
        <v>244</v>
      </c>
      <c r="C46" s="967" t="s">
        <v>256</v>
      </c>
      <c r="D46" s="967" t="s">
        <v>257</v>
      </c>
      <c r="E46" s="968" t="s">
        <v>258</v>
      </c>
      <c r="F46" s="968" t="s">
        <v>259</v>
      </c>
      <c r="G46" s="969" t="s">
        <v>260</v>
      </c>
      <c r="H46" s="970" t="s">
        <v>261</v>
      </c>
      <c r="I46" s="971" t="s">
        <v>262</v>
      </c>
      <c r="J46" s="971" t="s">
        <v>263</v>
      </c>
      <c r="K46" s="971" t="s">
        <v>264</v>
      </c>
      <c r="L46" s="972" t="s">
        <v>265</v>
      </c>
      <c r="M46" s="973" t="s">
        <v>266</v>
      </c>
      <c r="N46" s="970" t="s">
        <v>267</v>
      </c>
      <c r="O46" s="974" t="s">
        <v>268</v>
      </c>
      <c r="P46" s="974" t="s">
        <v>269</v>
      </c>
      <c r="Q46" s="975" t="s">
        <v>270</v>
      </c>
    </row>
    <row r="47" spans="1:22" s="588" customFormat="1" ht="14.15" customHeight="1" x14ac:dyDescent="0.25">
      <c r="A47" s="582"/>
      <c r="B47" s="945"/>
      <c r="C47" s="583"/>
      <c r="D47" s="1087"/>
      <c r="E47" s="583"/>
      <c r="F47" s="585"/>
      <c r="G47" s="586">
        <f>+I47+K47+L47+M47</f>
        <v>0</v>
      </c>
      <c r="H47" s="587"/>
      <c r="I47" s="586">
        <f>H47*Verm_KV</f>
        <v>0</v>
      </c>
      <c r="J47" s="587"/>
      <c r="K47" s="587"/>
      <c r="L47" s="587"/>
      <c r="M47" s="587"/>
      <c r="N47" s="586">
        <f>+I47+K47</f>
        <v>0</v>
      </c>
      <c r="O47" s="586">
        <f>+L47+M47</f>
        <v>0</v>
      </c>
      <c r="P47" s="559">
        <f>IFERROR(F47/G47*O47,0)</f>
        <v>0</v>
      </c>
      <c r="Q47" s="946">
        <f>IFERROR(F47/G47*N47,0)</f>
        <v>0</v>
      </c>
    </row>
    <row r="48" spans="1:22" s="588" customFormat="1" ht="14.15" customHeight="1" x14ac:dyDescent="0.25">
      <c r="A48" s="582"/>
      <c r="B48" s="945"/>
      <c r="C48" s="583"/>
      <c r="D48" s="1087"/>
      <c r="E48" s="583"/>
      <c r="F48" s="585"/>
      <c r="G48" s="586">
        <f>+I48+K48+L48+M48</f>
        <v>0</v>
      </c>
      <c r="H48" s="587"/>
      <c r="I48" s="586">
        <f t="shared" ref="I48:I63" si="3">H48*Verm_KV</f>
        <v>0</v>
      </c>
      <c r="J48" s="587"/>
      <c r="K48" s="587"/>
      <c r="L48" s="587"/>
      <c r="M48" s="587"/>
      <c r="N48" s="586">
        <f t="shared" ref="N48:N63" si="4">+I48+K48</f>
        <v>0</v>
      </c>
      <c r="O48" s="586">
        <f t="shared" ref="O48:O62" si="5">+L48+M48</f>
        <v>0</v>
      </c>
      <c r="P48" s="559">
        <f t="shared" ref="P48:P63" si="6">IFERROR(F48/G48*O48,0)</f>
        <v>0</v>
      </c>
      <c r="Q48" s="946">
        <f t="shared" ref="Q48:Q63" si="7">IFERROR(F48/G48*N48,0)</f>
        <v>0</v>
      </c>
      <c r="R48" s="394"/>
    </row>
    <row r="49" spans="1:22" s="588" customFormat="1" ht="14.15" customHeight="1" x14ac:dyDescent="0.25">
      <c r="A49" s="582"/>
      <c r="B49" s="945"/>
      <c r="C49" s="583"/>
      <c r="D49" s="1087"/>
      <c r="E49" s="583"/>
      <c r="F49" s="585"/>
      <c r="G49" s="586">
        <f t="shared" ref="G49:G62" si="8">+I49+K49+L49+M49</f>
        <v>0</v>
      </c>
      <c r="H49" s="587"/>
      <c r="I49" s="586">
        <f t="shared" si="3"/>
        <v>0</v>
      </c>
      <c r="J49" s="587"/>
      <c r="K49" s="587"/>
      <c r="L49" s="587"/>
      <c r="M49" s="587"/>
      <c r="N49" s="586">
        <f t="shared" si="4"/>
        <v>0</v>
      </c>
      <c r="O49" s="586">
        <f t="shared" si="5"/>
        <v>0</v>
      </c>
      <c r="P49" s="559">
        <f t="shared" si="6"/>
        <v>0</v>
      </c>
      <c r="Q49" s="946">
        <f t="shared" si="7"/>
        <v>0</v>
      </c>
      <c r="R49" s="394"/>
    </row>
    <row r="50" spans="1:22" s="588" customFormat="1" ht="14.15" customHeight="1" x14ac:dyDescent="0.25">
      <c r="A50" s="582"/>
      <c r="B50" s="945"/>
      <c r="C50" s="583"/>
      <c r="D50" s="1087"/>
      <c r="E50" s="583"/>
      <c r="F50" s="585"/>
      <c r="G50" s="586">
        <f t="shared" si="8"/>
        <v>0</v>
      </c>
      <c r="H50" s="587"/>
      <c r="I50" s="586">
        <f t="shared" si="3"/>
        <v>0</v>
      </c>
      <c r="J50" s="587"/>
      <c r="K50" s="587"/>
      <c r="L50" s="587"/>
      <c r="M50" s="587"/>
      <c r="N50" s="586">
        <f t="shared" si="4"/>
        <v>0</v>
      </c>
      <c r="O50" s="586">
        <f t="shared" si="5"/>
        <v>0</v>
      </c>
      <c r="P50" s="559">
        <f t="shared" si="6"/>
        <v>0</v>
      </c>
      <c r="Q50" s="946">
        <f t="shared" si="7"/>
        <v>0</v>
      </c>
      <c r="R50" s="394"/>
    </row>
    <row r="51" spans="1:22" s="588" customFormat="1" ht="14.15" customHeight="1" x14ac:dyDescent="0.25">
      <c r="A51" s="582"/>
      <c r="B51" s="945"/>
      <c r="C51" s="583"/>
      <c r="D51" s="1087"/>
      <c r="E51" s="583"/>
      <c r="F51" s="585"/>
      <c r="G51" s="586">
        <f t="shared" si="8"/>
        <v>0</v>
      </c>
      <c r="H51" s="587"/>
      <c r="I51" s="586">
        <f t="shared" si="3"/>
        <v>0</v>
      </c>
      <c r="J51" s="587"/>
      <c r="K51" s="587"/>
      <c r="L51" s="587"/>
      <c r="M51" s="587"/>
      <c r="N51" s="586">
        <f t="shared" si="4"/>
        <v>0</v>
      </c>
      <c r="O51" s="586">
        <f t="shared" si="5"/>
        <v>0</v>
      </c>
      <c r="P51" s="559">
        <f t="shared" si="6"/>
        <v>0</v>
      </c>
      <c r="Q51" s="946">
        <f t="shared" si="7"/>
        <v>0</v>
      </c>
      <c r="R51" s="394"/>
    </row>
    <row r="52" spans="1:22" s="588" customFormat="1" ht="14.15" customHeight="1" x14ac:dyDescent="0.25">
      <c r="A52" s="582"/>
      <c r="B52" s="945"/>
      <c r="C52" s="583"/>
      <c r="D52" s="1087"/>
      <c r="E52" s="583"/>
      <c r="F52" s="585"/>
      <c r="G52" s="586">
        <f t="shared" si="8"/>
        <v>0</v>
      </c>
      <c r="H52" s="587"/>
      <c r="I52" s="586">
        <f t="shared" si="3"/>
        <v>0</v>
      </c>
      <c r="J52" s="587"/>
      <c r="K52" s="587"/>
      <c r="L52" s="587"/>
      <c r="M52" s="587"/>
      <c r="N52" s="586">
        <f t="shared" si="4"/>
        <v>0</v>
      </c>
      <c r="O52" s="586">
        <f t="shared" si="5"/>
        <v>0</v>
      </c>
      <c r="P52" s="559">
        <f>IFERROR(F52/G52*O52,0)</f>
        <v>0</v>
      </c>
      <c r="Q52" s="946">
        <f t="shared" si="7"/>
        <v>0</v>
      </c>
      <c r="R52" s="394"/>
    </row>
    <row r="53" spans="1:22" s="588" customFormat="1" ht="14.15" customHeight="1" x14ac:dyDescent="0.25">
      <c r="A53" s="582"/>
      <c r="B53" s="945"/>
      <c r="C53" s="583"/>
      <c r="D53" s="1087"/>
      <c r="E53" s="583"/>
      <c r="F53" s="585"/>
      <c r="G53" s="586">
        <f t="shared" si="8"/>
        <v>0</v>
      </c>
      <c r="H53" s="587"/>
      <c r="I53" s="586">
        <f t="shared" si="3"/>
        <v>0</v>
      </c>
      <c r="J53" s="587"/>
      <c r="K53" s="587"/>
      <c r="L53" s="587"/>
      <c r="M53" s="587"/>
      <c r="N53" s="586">
        <f t="shared" si="4"/>
        <v>0</v>
      </c>
      <c r="O53" s="586">
        <f t="shared" si="5"/>
        <v>0</v>
      </c>
      <c r="P53" s="559">
        <f t="shared" si="6"/>
        <v>0</v>
      </c>
      <c r="Q53" s="946">
        <f t="shared" si="7"/>
        <v>0</v>
      </c>
      <c r="R53" s="394"/>
    </row>
    <row r="54" spans="1:22" s="588" customFormat="1" ht="14.15" customHeight="1" x14ac:dyDescent="0.25">
      <c r="A54" s="582"/>
      <c r="B54" s="945"/>
      <c r="C54" s="583"/>
      <c r="D54" s="1087"/>
      <c r="E54" s="583"/>
      <c r="F54" s="585"/>
      <c r="G54" s="586">
        <f t="shared" si="8"/>
        <v>0</v>
      </c>
      <c r="H54" s="587"/>
      <c r="I54" s="586">
        <f t="shared" si="3"/>
        <v>0</v>
      </c>
      <c r="J54" s="587"/>
      <c r="K54" s="587"/>
      <c r="L54" s="587"/>
      <c r="M54" s="587"/>
      <c r="N54" s="586">
        <f t="shared" si="4"/>
        <v>0</v>
      </c>
      <c r="O54" s="586">
        <f t="shared" si="5"/>
        <v>0</v>
      </c>
      <c r="P54" s="559">
        <f t="shared" si="6"/>
        <v>0</v>
      </c>
      <c r="Q54" s="946">
        <f t="shared" si="7"/>
        <v>0</v>
      </c>
      <c r="R54" s="394"/>
    </row>
    <row r="55" spans="1:22" s="588" customFormat="1" ht="14.15" customHeight="1" x14ac:dyDescent="0.25">
      <c r="A55" s="582"/>
      <c r="B55" s="945"/>
      <c r="C55" s="583"/>
      <c r="D55" s="1087"/>
      <c r="E55" s="583"/>
      <c r="F55" s="585"/>
      <c r="G55" s="586">
        <f t="shared" si="8"/>
        <v>0</v>
      </c>
      <c r="H55" s="587"/>
      <c r="I55" s="586">
        <f t="shared" si="3"/>
        <v>0</v>
      </c>
      <c r="J55" s="587"/>
      <c r="K55" s="587"/>
      <c r="L55" s="587"/>
      <c r="M55" s="587"/>
      <c r="N55" s="586">
        <f t="shared" si="4"/>
        <v>0</v>
      </c>
      <c r="O55" s="586">
        <f t="shared" si="5"/>
        <v>0</v>
      </c>
      <c r="P55" s="559">
        <f t="shared" si="6"/>
        <v>0</v>
      </c>
      <c r="Q55" s="946">
        <f t="shared" si="7"/>
        <v>0</v>
      </c>
      <c r="R55" s="394"/>
    </row>
    <row r="56" spans="1:22" s="588" customFormat="1" ht="14.15" customHeight="1" x14ac:dyDescent="0.25">
      <c r="A56" s="582"/>
      <c r="B56" s="945"/>
      <c r="C56" s="583"/>
      <c r="D56" s="1087"/>
      <c r="E56" s="583"/>
      <c r="F56" s="585"/>
      <c r="G56" s="586">
        <f t="shared" si="8"/>
        <v>0</v>
      </c>
      <c r="H56" s="587"/>
      <c r="I56" s="586">
        <f t="shared" si="3"/>
        <v>0</v>
      </c>
      <c r="J56" s="587"/>
      <c r="K56" s="587"/>
      <c r="L56" s="587"/>
      <c r="M56" s="587"/>
      <c r="N56" s="586">
        <f t="shared" si="4"/>
        <v>0</v>
      </c>
      <c r="O56" s="586">
        <f t="shared" si="5"/>
        <v>0</v>
      </c>
      <c r="P56" s="559">
        <f t="shared" si="6"/>
        <v>0</v>
      </c>
      <c r="Q56" s="946">
        <f t="shared" si="7"/>
        <v>0</v>
      </c>
      <c r="R56" s="394"/>
    </row>
    <row r="57" spans="1:22" s="588" customFormat="1" ht="14.15" customHeight="1" x14ac:dyDescent="0.25">
      <c r="A57" s="582"/>
      <c r="B57" s="945"/>
      <c r="C57" s="583"/>
      <c r="D57" s="1087"/>
      <c r="E57" s="583"/>
      <c r="F57" s="585"/>
      <c r="G57" s="586">
        <f t="shared" si="8"/>
        <v>0</v>
      </c>
      <c r="H57" s="587"/>
      <c r="I57" s="586">
        <f t="shared" si="3"/>
        <v>0</v>
      </c>
      <c r="J57" s="587"/>
      <c r="K57" s="587"/>
      <c r="L57" s="587"/>
      <c r="M57" s="587"/>
      <c r="N57" s="586">
        <f t="shared" si="4"/>
        <v>0</v>
      </c>
      <c r="O57" s="586">
        <f t="shared" si="5"/>
        <v>0</v>
      </c>
      <c r="P57" s="559">
        <f t="shared" si="6"/>
        <v>0</v>
      </c>
      <c r="Q57" s="946">
        <f t="shared" si="7"/>
        <v>0</v>
      </c>
      <c r="R57" s="394"/>
    </row>
    <row r="58" spans="1:22" s="588" customFormat="1" ht="14.15" customHeight="1" x14ac:dyDescent="0.25">
      <c r="A58" s="582"/>
      <c r="B58" s="945"/>
      <c r="C58" s="583"/>
      <c r="D58" s="1087"/>
      <c r="E58" s="583"/>
      <c r="F58" s="585"/>
      <c r="G58" s="586">
        <f t="shared" si="8"/>
        <v>0</v>
      </c>
      <c r="H58" s="587"/>
      <c r="I58" s="586">
        <f t="shared" si="3"/>
        <v>0</v>
      </c>
      <c r="J58" s="587"/>
      <c r="K58" s="587"/>
      <c r="L58" s="587"/>
      <c r="M58" s="587"/>
      <c r="N58" s="586">
        <f t="shared" si="4"/>
        <v>0</v>
      </c>
      <c r="O58" s="586">
        <f t="shared" si="5"/>
        <v>0</v>
      </c>
      <c r="P58" s="559">
        <f t="shared" si="6"/>
        <v>0</v>
      </c>
      <c r="Q58" s="946">
        <f t="shared" si="7"/>
        <v>0</v>
      </c>
      <c r="R58" s="394"/>
    </row>
    <row r="59" spans="1:22" s="588" customFormat="1" ht="14.15" customHeight="1" x14ac:dyDescent="0.25">
      <c r="A59" s="582"/>
      <c r="B59" s="945"/>
      <c r="C59" s="583"/>
      <c r="D59" s="1087"/>
      <c r="E59" s="583"/>
      <c r="F59" s="585"/>
      <c r="G59" s="586">
        <f t="shared" si="8"/>
        <v>0</v>
      </c>
      <c r="H59" s="587"/>
      <c r="I59" s="586">
        <f t="shared" si="3"/>
        <v>0</v>
      </c>
      <c r="J59" s="587"/>
      <c r="K59" s="587"/>
      <c r="L59" s="587"/>
      <c r="M59" s="587"/>
      <c r="N59" s="586">
        <f t="shared" si="4"/>
        <v>0</v>
      </c>
      <c r="O59" s="586">
        <f t="shared" si="5"/>
        <v>0</v>
      </c>
      <c r="P59" s="559">
        <f t="shared" si="6"/>
        <v>0</v>
      </c>
      <c r="Q59" s="946">
        <f t="shared" si="7"/>
        <v>0</v>
      </c>
      <c r="R59" s="394"/>
    </row>
    <row r="60" spans="1:22" s="588" customFormat="1" ht="14.15" customHeight="1" x14ac:dyDescent="0.25">
      <c r="A60" s="582"/>
      <c r="B60" s="945"/>
      <c r="C60" s="583"/>
      <c r="D60" s="1087"/>
      <c r="E60" s="583"/>
      <c r="F60" s="585"/>
      <c r="G60" s="586">
        <f t="shared" si="8"/>
        <v>0</v>
      </c>
      <c r="H60" s="587"/>
      <c r="I60" s="586">
        <f t="shared" si="3"/>
        <v>0</v>
      </c>
      <c r="J60" s="587"/>
      <c r="K60" s="587"/>
      <c r="L60" s="587"/>
      <c r="M60" s="587"/>
      <c r="N60" s="586">
        <f t="shared" si="4"/>
        <v>0</v>
      </c>
      <c r="O60" s="586">
        <f t="shared" si="5"/>
        <v>0</v>
      </c>
      <c r="P60" s="559">
        <f t="shared" si="6"/>
        <v>0</v>
      </c>
      <c r="Q60" s="946">
        <f t="shared" si="7"/>
        <v>0</v>
      </c>
      <c r="R60" s="394"/>
    </row>
    <row r="61" spans="1:22" s="588" customFormat="1" ht="14.15" customHeight="1" x14ac:dyDescent="0.25">
      <c r="A61" s="582"/>
      <c r="B61" s="945"/>
      <c r="C61" s="583"/>
      <c r="D61" s="1087"/>
      <c r="E61" s="583"/>
      <c r="F61" s="585"/>
      <c r="G61" s="586">
        <f t="shared" si="8"/>
        <v>0</v>
      </c>
      <c r="H61" s="587"/>
      <c r="I61" s="586">
        <f t="shared" si="3"/>
        <v>0</v>
      </c>
      <c r="J61" s="587"/>
      <c r="K61" s="587"/>
      <c r="L61" s="587"/>
      <c r="M61" s="587"/>
      <c r="N61" s="586">
        <f t="shared" si="4"/>
        <v>0</v>
      </c>
      <c r="O61" s="586">
        <f t="shared" si="5"/>
        <v>0</v>
      </c>
      <c r="P61" s="559">
        <f t="shared" si="6"/>
        <v>0</v>
      </c>
      <c r="Q61" s="946">
        <f t="shared" si="7"/>
        <v>0</v>
      </c>
      <c r="R61" s="394"/>
    </row>
    <row r="62" spans="1:22" s="588" customFormat="1" ht="14.15" customHeight="1" x14ac:dyDescent="0.25">
      <c r="A62" s="582"/>
      <c r="B62" s="945"/>
      <c r="C62" s="583"/>
      <c r="D62" s="1087"/>
      <c r="E62" s="583"/>
      <c r="F62" s="585"/>
      <c r="G62" s="586">
        <f t="shared" si="8"/>
        <v>0</v>
      </c>
      <c r="H62" s="587"/>
      <c r="I62" s="586">
        <f t="shared" si="3"/>
        <v>0</v>
      </c>
      <c r="J62" s="587"/>
      <c r="K62" s="587"/>
      <c r="L62" s="587"/>
      <c r="M62" s="587"/>
      <c r="N62" s="586">
        <f t="shared" si="4"/>
        <v>0</v>
      </c>
      <c r="O62" s="586">
        <f t="shared" si="5"/>
        <v>0</v>
      </c>
      <c r="P62" s="559">
        <f t="shared" si="6"/>
        <v>0</v>
      </c>
      <c r="Q62" s="946">
        <f t="shared" si="7"/>
        <v>0</v>
      </c>
      <c r="R62" s="394"/>
    </row>
    <row r="63" spans="1:22" ht="14.15" customHeight="1" thickBot="1" x14ac:dyDescent="0.3">
      <c r="B63" s="947"/>
      <c r="C63" s="962"/>
      <c r="D63" s="1089"/>
      <c r="E63" s="962"/>
      <c r="F63" s="963"/>
      <c r="G63" s="964">
        <f>+I63+K63+L63+M63</f>
        <v>0</v>
      </c>
      <c r="H63" s="965"/>
      <c r="I63" s="964">
        <f t="shared" si="3"/>
        <v>0</v>
      </c>
      <c r="J63" s="965"/>
      <c r="K63" s="965"/>
      <c r="L63" s="965"/>
      <c r="M63" s="965"/>
      <c r="N63" s="964">
        <f t="shared" si="4"/>
        <v>0</v>
      </c>
      <c r="O63" s="964">
        <f>+L63+M63</f>
        <v>0</v>
      </c>
      <c r="P63" s="951">
        <f t="shared" si="6"/>
        <v>0</v>
      </c>
      <c r="Q63" s="956">
        <f t="shared" si="7"/>
        <v>0</v>
      </c>
      <c r="R63" s="394"/>
      <c r="S63" s="515"/>
      <c r="T63" s="515"/>
      <c r="U63" s="515"/>
      <c r="V63" s="515"/>
    </row>
    <row r="64" spans="1:22" ht="14.15" customHeight="1" thickBot="1" x14ac:dyDescent="0.3">
      <c r="D64" s="1090">
        <f>SUM(D47:D63)</f>
        <v>0</v>
      </c>
      <c r="F64" s="957">
        <f>SUM(F47:F63)</f>
        <v>0</v>
      </c>
      <c r="G64" s="394" t="str">
        <f>IF(D64&gt;0,IF(F64/D64&gt;Df_Pw,"Let op. Waarde komt boven de defaultwaarde van € "&amp;TEXT(Df_Pw,"0.00")&amp;" per kilometer uit. Dit is alleen toegestaan met een goede onderbouwing in het projectplan en met offertes en/of kostenramingen.",""),"")</f>
        <v/>
      </c>
    </row>
    <row r="65" spans="1:18" ht="14.15" customHeight="1" thickBot="1" x14ac:dyDescent="0.3">
      <c r="B65" s="594" t="s">
        <v>271</v>
      </c>
      <c r="C65" s="595"/>
      <c r="D65" s="595"/>
      <c r="E65" s="595"/>
      <c r="F65" s="596"/>
      <c r="G65" s="595"/>
      <c r="H65" s="595"/>
      <c r="I65" s="597"/>
      <c r="J65" s="595"/>
      <c r="K65" s="598"/>
      <c r="L65" s="595"/>
      <c r="M65" s="595"/>
      <c r="N65" s="595"/>
      <c r="O65" s="595"/>
      <c r="P65" s="599"/>
      <c r="Q65" s="600">
        <f>SUM(Q47:Q63)</f>
        <v>0</v>
      </c>
    </row>
    <row r="66" spans="1:18" ht="14.15" customHeight="1" x14ac:dyDescent="0.25">
      <c r="I66" s="563"/>
    </row>
    <row r="67" spans="1:18" s="393" customFormat="1" ht="13.5" x14ac:dyDescent="0.25">
      <c r="A67" s="391"/>
      <c r="B67" s="601" t="s">
        <v>156</v>
      </c>
      <c r="C67" s="602"/>
      <c r="D67" s="603"/>
      <c r="E67" s="604"/>
      <c r="F67" s="565"/>
      <c r="G67" s="565"/>
      <c r="H67" s="565"/>
      <c r="I67" s="566"/>
      <c r="J67" s="566"/>
      <c r="K67" s="566"/>
      <c r="L67" s="566"/>
      <c r="M67" s="566"/>
      <c r="N67" s="566"/>
      <c r="O67" s="566"/>
      <c r="P67" s="566"/>
      <c r="Q67" s="566"/>
    </row>
    <row r="68" spans="1:18" s="393" customFormat="1" ht="13.5" x14ac:dyDescent="0.25">
      <c r="A68" s="391"/>
      <c r="B68" s="871" t="s">
        <v>272</v>
      </c>
      <c r="C68" s="605"/>
      <c r="D68" s="606"/>
      <c r="E68" s="607"/>
      <c r="F68" s="608"/>
      <c r="G68" s="608"/>
      <c r="H68" s="608"/>
      <c r="I68" s="609"/>
      <c r="J68" s="609"/>
      <c r="K68" s="610"/>
      <c r="L68" s="609"/>
      <c r="M68" s="610"/>
      <c r="N68" s="609"/>
      <c r="O68" s="609"/>
      <c r="P68" s="609"/>
      <c r="Q68" s="610"/>
    </row>
    <row r="69" spans="1:18" s="393" customFormat="1" ht="14.25" customHeight="1" x14ac:dyDescent="0.25">
      <c r="A69" s="391"/>
      <c r="B69" s="611"/>
      <c r="C69" s="612"/>
      <c r="D69" s="612"/>
      <c r="E69" s="612"/>
      <c r="F69" s="612"/>
      <c r="G69" s="613"/>
      <c r="H69" s="1147" t="s">
        <v>253</v>
      </c>
      <c r="I69" s="1147"/>
      <c r="J69" s="1147"/>
      <c r="K69" s="1148"/>
      <c r="L69" s="1150" t="s">
        <v>254</v>
      </c>
      <c r="M69" s="1148"/>
      <c r="N69" s="1147" t="s">
        <v>255</v>
      </c>
      <c r="O69" s="1147"/>
      <c r="P69" s="1147"/>
      <c r="Q69" s="1148"/>
    </row>
    <row r="70" spans="1:18" s="572" customFormat="1" ht="57.5" x14ac:dyDescent="0.25">
      <c r="A70" s="567"/>
      <c r="B70" s="554" t="s">
        <v>244</v>
      </c>
      <c r="C70" s="554" t="s">
        <v>256</v>
      </c>
      <c r="D70" s="554" t="s">
        <v>273</v>
      </c>
      <c r="E70" s="574" t="s">
        <v>274</v>
      </c>
      <c r="F70" s="1099" t="s">
        <v>275</v>
      </c>
      <c r="G70" s="575" t="s">
        <v>260</v>
      </c>
      <c r="H70" s="576" t="s">
        <v>261</v>
      </c>
      <c r="I70" s="577" t="s">
        <v>262</v>
      </c>
      <c r="J70" s="577" t="s">
        <v>263</v>
      </c>
      <c r="K70" s="577" t="s">
        <v>276</v>
      </c>
      <c r="L70" s="578" t="s">
        <v>265</v>
      </c>
      <c r="M70" s="579" t="s">
        <v>266</v>
      </c>
      <c r="N70" s="576" t="s">
        <v>277</v>
      </c>
      <c r="O70" s="580" t="s">
        <v>278</v>
      </c>
      <c r="P70" s="580" t="s">
        <v>269</v>
      </c>
      <c r="Q70" s="581" t="s">
        <v>270</v>
      </c>
    </row>
    <row r="71" spans="1:18" s="393" customFormat="1" ht="14.15" customHeight="1" x14ac:dyDescent="0.25">
      <c r="A71" s="391"/>
      <c r="B71" s="555"/>
      <c r="C71" s="583"/>
      <c r="D71" s="584"/>
      <c r="E71" s="583"/>
      <c r="F71" s="585"/>
      <c r="G71" s="586">
        <f t="shared" ref="G71:G85" si="9">+I71+K71+L71+M71</f>
        <v>0</v>
      </c>
      <c r="H71" s="587"/>
      <c r="I71" s="586">
        <f>+H71*Verm_KV</f>
        <v>0</v>
      </c>
      <c r="J71" s="587"/>
      <c r="K71" s="587"/>
      <c r="L71" s="587"/>
      <c r="M71" s="587"/>
      <c r="N71" s="586">
        <f t="shared" ref="N71:N85" si="10">+I71+K71</f>
        <v>0</v>
      </c>
      <c r="O71" s="586">
        <f>+L71+M71</f>
        <v>0</v>
      </c>
      <c r="P71" s="559">
        <f t="shared" ref="P71:P85" si="11">IFERROR(F71/G71*O71,0)</f>
        <v>0</v>
      </c>
      <c r="Q71" s="560">
        <f t="shared" ref="Q71:Q85" si="12">IFERROR(F71/G71*N71,0)</f>
        <v>0</v>
      </c>
    </row>
    <row r="72" spans="1:18" s="393" customFormat="1" ht="14.15" customHeight="1" x14ac:dyDescent="0.25">
      <c r="A72" s="391"/>
      <c r="B72" s="555"/>
      <c r="C72" s="583"/>
      <c r="D72" s="584"/>
      <c r="E72" s="583"/>
      <c r="F72" s="585"/>
      <c r="G72" s="586">
        <f t="shared" si="9"/>
        <v>0</v>
      </c>
      <c r="H72" s="587"/>
      <c r="I72" s="586">
        <f t="shared" ref="I72:I85" si="13">+H72*Verm_KV</f>
        <v>0</v>
      </c>
      <c r="J72" s="587"/>
      <c r="K72" s="587"/>
      <c r="L72" s="587"/>
      <c r="M72" s="587"/>
      <c r="N72" s="586">
        <f t="shared" si="10"/>
        <v>0</v>
      </c>
      <c r="O72" s="586">
        <f t="shared" ref="O72:O85" si="14">+L72+M72</f>
        <v>0</v>
      </c>
      <c r="P72" s="559">
        <f t="shared" si="11"/>
        <v>0</v>
      </c>
      <c r="Q72" s="560">
        <f t="shared" si="12"/>
        <v>0</v>
      </c>
      <c r="R72" s="394"/>
    </row>
    <row r="73" spans="1:18" s="393" customFormat="1" ht="14.15" customHeight="1" x14ac:dyDescent="0.25">
      <c r="A73" s="391"/>
      <c r="B73" s="555"/>
      <c r="C73" s="583"/>
      <c r="D73" s="584"/>
      <c r="E73" s="583"/>
      <c r="F73" s="585"/>
      <c r="G73" s="586">
        <f t="shared" si="9"/>
        <v>0</v>
      </c>
      <c r="H73" s="587"/>
      <c r="I73" s="586">
        <f t="shared" si="13"/>
        <v>0</v>
      </c>
      <c r="J73" s="587"/>
      <c r="K73" s="587"/>
      <c r="L73" s="587"/>
      <c r="M73" s="587"/>
      <c r="N73" s="586">
        <f t="shared" si="10"/>
        <v>0</v>
      </c>
      <c r="O73" s="586">
        <f t="shared" si="14"/>
        <v>0</v>
      </c>
      <c r="P73" s="559">
        <f t="shared" si="11"/>
        <v>0</v>
      </c>
      <c r="Q73" s="560">
        <f t="shared" si="12"/>
        <v>0</v>
      </c>
      <c r="R73" s="394"/>
    </row>
    <row r="74" spans="1:18" s="393" customFormat="1" ht="14.15" customHeight="1" x14ac:dyDescent="0.25">
      <c r="A74" s="391"/>
      <c r="B74" s="555"/>
      <c r="C74" s="583"/>
      <c r="D74" s="584"/>
      <c r="E74" s="583"/>
      <c r="F74" s="585"/>
      <c r="G74" s="586">
        <f t="shared" si="9"/>
        <v>0</v>
      </c>
      <c r="H74" s="587"/>
      <c r="I74" s="586">
        <f t="shared" si="13"/>
        <v>0</v>
      </c>
      <c r="J74" s="587"/>
      <c r="K74" s="587"/>
      <c r="L74" s="587"/>
      <c r="M74" s="587"/>
      <c r="N74" s="586">
        <f t="shared" si="10"/>
        <v>0</v>
      </c>
      <c r="O74" s="586">
        <f t="shared" si="14"/>
        <v>0</v>
      </c>
      <c r="P74" s="559">
        <f t="shared" si="11"/>
        <v>0</v>
      </c>
      <c r="Q74" s="560">
        <f t="shared" si="12"/>
        <v>0</v>
      </c>
      <c r="R74" s="394"/>
    </row>
    <row r="75" spans="1:18" s="393" customFormat="1" ht="14.15" customHeight="1" x14ac:dyDescent="0.25">
      <c r="A75" s="391"/>
      <c r="B75" s="555"/>
      <c r="C75" s="583"/>
      <c r="D75" s="584"/>
      <c r="E75" s="583"/>
      <c r="F75" s="585"/>
      <c r="G75" s="586">
        <f t="shared" si="9"/>
        <v>0</v>
      </c>
      <c r="H75" s="587"/>
      <c r="I75" s="586">
        <f t="shared" si="13"/>
        <v>0</v>
      </c>
      <c r="J75" s="587"/>
      <c r="K75" s="587"/>
      <c r="L75" s="587"/>
      <c r="M75" s="587"/>
      <c r="N75" s="586">
        <f t="shared" si="10"/>
        <v>0</v>
      </c>
      <c r="O75" s="586">
        <f t="shared" si="14"/>
        <v>0</v>
      </c>
      <c r="P75" s="559">
        <f t="shared" si="11"/>
        <v>0</v>
      </c>
      <c r="Q75" s="560">
        <f t="shared" si="12"/>
        <v>0</v>
      </c>
      <c r="R75" s="394"/>
    </row>
    <row r="76" spans="1:18" s="393" customFormat="1" ht="14.15" customHeight="1" x14ac:dyDescent="0.25">
      <c r="A76" s="391"/>
      <c r="B76" s="555"/>
      <c r="C76" s="583"/>
      <c r="D76" s="584"/>
      <c r="E76" s="583"/>
      <c r="F76" s="585"/>
      <c r="G76" s="586">
        <f t="shared" si="9"/>
        <v>0</v>
      </c>
      <c r="H76" s="587"/>
      <c r="I76" s="586">
        <f t="shared" si="13"/>
        <v>0</v>
      </c>
      <c r="J76" s="587"/>
      <c r="K76" s="587"/>
      <c r="L76" s="587"/>
      <c r="M76" s="587"/>
      <c r="N76" s="586">
        <f t="shared" si="10"/>
        <v>0</v>
      </c>
      <c r="O76" s="586">
        <f t="shared" si="14"/>
        <v>0</v>
      </c>
      <c r="P76" s="559">
        <f t="shared" si="11"/>
        <v>0</v>
      </c>
      <c r="Q76" s="560">
        <f t="shared" si="12"/>
        <v>0</v>
      </c>
      <c r="R76" s="394"/>
    </row>
    <row r="77" spans="1:18" s="393" customFormat="1" ht="14.15" customHeight="1" x14ac:dyDescent="0.25">
      <c r="A77" s="391"/>
      <c r="B77" s="555"/>
      <c r="C77" s="583"/>
      <c r="D77" s="584"/>
      <c r="E77" s="583"/>
      <c r="F77" s="585"/>
      <c r="G77" s="586">
        <f t="shared" si="9"/>
        <v>0</v>
      </c>
      <c r="H77" s="587"/>
      <c r="I77" s="586">
        <f t="shared" si="13"/>
        <v>0</v>
      </c>
      <c r="J77" s="587"/>
      <c r="K77" s="587"/>
      <c r="L77" s="587"/>
      <c r="M77" s="587"/>
      <c r="N77" s="586">
        <f t="shared" si="10"/>
        <v>0</v>
      </c>
      <c r="O77" s="586">
        <f t="shared" si="14"/>
        <v>0</v>
      </c>
      <c r="P77" s="559">
        <f t="shared" si="11"/>
        <v>0</v>
      </c>
      <c r="Q77" s="560">
        <f t="shared" si="12"/>
        <v>0</v>
      </c>
      <c r="R77" s="394"/>
    </row>
    <row r="78" spans="1:18" s="393" customFormat="1" ht="14.15" customHeight="1" x14ac:dyDescent="0.25">
      <c r="A78" s="391"/>
      <c r="B78" s="555"/>
      <c r="C78" s="583"/>
      <c r="D78" s="584"/>
      <c r="E78" s="583"/>
      <c r="F78" s="585"/>
      <c r="G78" s="586">
        <f t="shared" si="9"/>
        <v>0</v>
      </c>
      <c r="H78" s="587"/>
      <c r="I78" s="586">
        <f t="shared" si="13"/>
        <v>0</v>
      </c>
      <c r="J78" s="587"/>
      <c r="K78" s="587"/>
      <c r="L78" s="587"/>
      <c r="M78" s="587"/>
      <c r="N78" s="586">
        <f t="shared" si="10"/>
        <v>0</v>
      </c>
      <c r="O78" s="586">
        <f t="shared" si="14"/>
        <v>0</v>
      </c>
      <c r="P78" s="559">
        <f t="shared" si="11"/>
        <v>0</v>
      </c>
      <c r="Q78" s="560">
        <f t="shared" si="12"/>
        <v>0</v>
      </c>
      <c r="R78" s="394"/>
    </row>
    <row r="79" spans="1:18" s="393" customFormat="1" ht="14.15" customHeight="1" x14ac:dyDescent="0.25">
      <c r="A79" s="391"/>
      <c r="B79" s="555"/>
      <c r="C79" s="583"/>
      <c r="D79" s="584"/>
      <c r="E79" s="583"/>
      <c r="F79" s="585"/>
      <c r="G79" s="586">
        <f t="shared" si="9"/>
        <v>0</v>
      </c>
      <c r="H79" s="587"/>
      <c r="I79" s="586">
        <f>+H79*Verm_KV</f>
        <v>0</v>
      </c>
      <c r="J79" s="587"/>
      <c r="K79" s="587"/>
      <c r="L79" s="587"/>
      <c r="M79" s="587"/>
      <c r="N79" s="586">
        <f t="shared" si="10"/>
        <v>0</v>
      </c>
      <c r="O79" s="586">
        <f t="shared" si="14"/>
        <v>0</v>
      </c>
      <c r="P79" s="559">
        <f t="shared" si="11"/>
        <v>0</v>
      </c>
      <c r="Q79" s="560">
        <f t="shared" si="12"/>
        <v>0</v>
      </c>
      <c r="R79" s="394"/>
    </row>
    <row r="80" spans="1:18" s="393" customFormat="1" ht="14.15" customHeight="1" x14ac:dyDescent="0.25">
      <c r="A80" s="391"/>
      <c r="B80" s="555"/>
      <c r="C80" s="583"/>
      <c r="D80" s="584"/>
      <c r="E80" s="583"/>
      <c r="F80" s="585"/>
      <c r="G80" s="586">
        <f t="shared" si="9"/>
        <v>0</v>
      </c>
      <c r="H80" s="587"/>
      <c r="I80" s="586">
        <f t="shared" si="13"/>
        <v>0</v>
      </c>
      <c r="J80" s="587"/>
      <c r="K80" s="587"/>
      <c r="L80" s="587"/>
      <c r="M80" s="587"/>
      <c r="N80" s="586">
        <f t="shared" si="10"/>
        <v>0</v>
      </c>
      <c r="O80" s="586">
        <f t="shared" si="14"/>
        <v>0</v>
      </c>
      <c r="P80" s="559">
        <f t="shared" si="11"/>
        <v>0</v>
      </c>
      <c r="Q80" s="560">
        <f t="shared" si="12"/>
        <v>0</v>
      </c>
      <c r="R80" s="394"/>
    </row>
    <row r="81" spans="1:21" s="393" customFormat="1" ht="14.15" customHeight="1" x14ac:dyDescent="0.25">
      <c r="A81" s="391"/>
      <c r="B81" s="555"/>
      <c r="C81" s="583"/>
      <c r="D81" s="584"/>
      <c r="E81" s="583"/>
      <c r="F81" s="585"/>
      <c r="G81" s="586">
        <f t="shared" si="9"/>
        <v>0</v>
      </c>
      <c r="H81" s="587"/>
      <c r="I81" s="586">
        <f t="shared" si="13"/>
        <v>0</v>
      </c>
      <c r="J81" s="587"/>
      <c r="K81" s="587"/>
      <c r="L81" s="587"/>
      <c r="M81" s="587"/>
      <c r="N81" s="586">
        <f t="shared" si="10"/>
        <v>0</v>
      </c>
      <c r="O81" s="586">
        <f t="shared" si="14"/>
        <v>0</v>
      </c>
      <c r="P81" s="559">
        <f t="shared" si="11"/>
        <v>0</v>
      </c>
      <c r="Q81" s="560">
        <f t="shared" si="12"/>
        <v>0</v>
      </c>
      <c r="R81" s="394"/>
    </row>
    <row r="82" spans="1:21" s="393" customFormat="1" ht="14.15" customHeight="1" x14ac:dyDescent="0.25">
      <c r="A82" s="391"/>
      <c r="B82" s="555"/>
      <c r="C82" s="583"/>
      <c r="D82" s="584"/>
      <c r="E82" s="583"/>
      <c r="F82" s="585"/>
      <c r="G82" s="586">
        <f t="shared" si="9"/>
        <v>0</v>
      </c>
      <c r="H82" s="587"/>
      <c r="I82" s="586">
        <f t="shared" si="13"/>
        <v>0</v>
      </c>
      <c r="J82" s="587"/>
      <c r="K82" s="587"/>
      <c r="L82" s="587"/>
      <c r="M82" s="587"/>
      <c r="N82" s="586">
        <f t="shared" si="10"/>
        <v>0</v>
      </c>
      <c r="O82" s="586">
        <f t="shared" si="14"/>
        <v>0</v>
      </c>
      <c r="P82" s="559">
        <f t="shared" si="11"/>
        <v>0</v>
      </c>
      <c r="Q82" s="560">
        <f t="shared" si="12"/>
        <v>0</v>
      </c>
      <c r="R82" s="394"/>
    </row>
    <row r="83" spans="1:21" s="393" customFormat="1" ht="14.15" customHeight="1" x14ac:dyDescent="0.25">
      <c r="A83" s="391"/>
      <c r="B83" s="555"/>
      <c r="C83" s="583"/>
      <c r="D83" s="584"/>
      <c r="E83" s="583"/>
      <c r="F83" s="585"/>
      <c r="G83" s="586">
        <f t="shared" si="9"/>
        <v>0</v>
      </c>
      <c r="H83" s="587"/>
      <c r="I83" s="586">
        <f t="shared" si="13"/>
        <v>0</v>
      </c>
      <c r="J83" s="587"/>
      <c r="K83" s="587"/>
      <c r="L83" s="587"/>
      <c r="M83" s="587"/>
      <c r="N83" s="586">
        <f t="shared" si="10"/>
        <v>0</v>
      </c>
      <c r="O83" s="586">
        <f t="shared" si="14"/>
        <v>0</v>
      </c>
      <c r="P83" s="559">
        <f t="shared" si="11"/>
        <v>0</v>
      </c>
      <c r="Q83" s="560">
        <f t="shared" si="12"/>
        <v>0</v>
      </c>
      <c r="R83" s="394"/>
    </row>
    <row r="84" spans="1:21" s="393" customFormat="1" ht="14.15" customHeight="1" x14ac:dyDescent="0.25">
      <c r="A84" s="391"/>
      <c r="B84" s="555"/>
      <c r="C84" s="583"/>
      <c r="D84" s="584"/>
      <c r="E84" s="583"/>
      <c r="F84" s="585"/>
      <c r="G84" s="586">
        <f t="shared" si="9"/>
        <v>0</v>
      </c>
      <c r="H84" s="587"/>
      <c r="I84" s="586">
        <f t="shared" si="13"/>
        <v>0</v>
      </c>
      <c r="J84" s="587"/>
      <c r="K84" s="587"/>
      <c r="L84" s="587"/>
      <c r="M84" s="587"/>
      <c r="N84" s="586">
        <f t="shared" si="10"/>
        <v>0</v>
      </c>
      <c r="O84" s="586">
        <f t="shared" si="14"/>
        <v>0</v>
      </c>
      <c r="P84" s="559">
        <f t="shared" si="11"/>
        <v>0</v>
      </c>
      <c r="Q84" s="560">
        <f t="shared" si="12"/>
        <v>0</v>
      </c>
      <c r="R84" s="394"/>
    </row>
    <row r="85" spans="1:21" s="393" customFormat="1" ht="14.15" customHeight="1" thickBot="1" x14ac:dyDescent="0.3">
      <c r="A85" s="391"/>
      <c r="B85" s="555"/>
      <c r="C85" s="583"/>
      <c r="D85" s="589"/>
      <c r="E85" s="583"/>
      <c r="F85" s="585"/>
      <c r="G85" s="586">
        <f t="shared" si="9"/>
        <v>0</v>
      </c>
      <c r="H85" s="587"/>
      <c r="I85" s="586">
        <f t="shared" si="13"/>
        <v>0</v>
      </c>
      <c r="J85" s="587"/>
      <c r="K85" s="587"/>
      <c r="L85" s="587"/>
      <c r="M85" s="587"/>
      <c r="N85" s="586">
        <f t="shared" si="10"/>
        <v>0</v>
      </c>
      <c r="O85" s="586">
        <f t="shared" si="14"/>
        <v>0</v>
      </c>
      <c r="P85" s="559">
        <f t="shared" si="11"/>
        <v>0</v>
      </c>
      <c r="Q85" s="560">
        <f t="shared" si="12"/>
        <v>0</v>
      </c>
      <c r="R85" s="394"/>
    </row>
    <row r="86" spans="1:21" s="393" customFormat="1" ht="14.15" customHeight="1" thickBot="1" x14ac:dyDescent="0.3">
      <c r="A86" s="391"/>
      <c r="C86" s="513"/>
      <c r="D86" s="591">
        <f>SUM(D71:D85)</f>
        <v>0</v>
      </c>
      <c r="E86" s="513"/>
      <c r="F86" s="592">
        <f>SUM(F71:F85)</f>
        <v>0</v>
      </c>
      <c r="G86" s="394" t="str">
        <f>IF(D86&gt;0,IF(F86/D86&gt;Df_Os,"Let op. Waarde komt boven de defaultwaarde van € "&amp;TEXT(Df_Os,"0.00")&amp;" per overdrachtstation uit. Dit is alleen toegestaan met een goede onderbouwing in het projectplan en met offertes en/of kostenramingen.",""),"")</f>
        <v/>
      </c>
      <c r="H86" s="513"/>
      <c r="I86" s="563"/>
      <c r="J86" s="513"/>
      <c r="K86" s="515"/>
      <c r="L86" s="513"/>
      <c r="M86" s="513"/>
      <c r="N86" s="513"/>
      <c r="O86" s="513"/>
      <c r="P86" s="513"/>
      <c r="R86" s="513"/>
      <c r="S86" s="513"/>
      <c r="T86" s="513"/>
    </row>
    <row r="87" spans="1:21" s="393" customFormat="1" ht="14.15" customHeight="1" thickBot="1" x14ac:dyDescent="0.3">
      <c r="A87" s="391"/>
      <c r="B87" s="594" t="s">
        <v>279</v>
      </c>
      <c r="C87" s="595"/>
      <c r="D87" s="595"/>
      <c r="E87" s="595"/>
      <c r="F87" s="595"/>
      <c r="G87" s="595"/>
      <c r="H87" s="595"/>
      <c r="I87" s="595"/>
      <c r="J87" s="595"/>
      <c r="K87" s="595"/>
      <c r="L87" s="595"/>
      <c r="M87" s="595"/>
      <c r="N87" s="595"/>
      <c r="O87" s="595"/>
      <c r="P87" s="599"/>
      <c r="Q87" s="600">
        <f>SUM(Q71:Q85)</f>
        <v>0</v>
      </c>
      <c r="R87" s="513"/>
      <c r="S87" s="513"/>
      <c r="T87" s="513"/>
      <c r="U87" s="513"/>
    </row>
    <row r="88" spans="1:21" ht="14.15" customHeight="1" x14ac:dyDescent="0.25">
      <c r="I88" s="563"/>
    </row>
    <row r="89" spans="1:21" s="393" customFormat="1" ht="13.5" x14ac:dyDescent="0.25">
      <c r="A89" s="391"/>
      <c r="B89" s="520" t="s">
        <v>162</v>
      </c>
      <c r="C89" s="520"/>
      <c r="D89" s="564"/>
      <c r="E89" s="521"/>
      <c r="F89" s="614"/>
      <c r="G89" s="614"/>
      <c r="H89" s="614"/>
      <c r="I89" s="615"/>
      <c r="J89" s="615"/>
      <c r="K89" s="615"/>
      <c r="L89" s="615"/>
      <c r="M89" s="615"/>
      <c r="N89" s="615"/>
      <c r="O89" s="615"/>
      <c r="P89" s="615"/>
      <c r="Q89" s="615"/>
    </row>
    <row r="90" spans="1:21" s="617" customFormat="1" ht="11.25" customHeight="1" x14ac:dyDescent="0.25">
      <c r="A90" s="616"/>
      <c r="B90" s="869" t="s">
        <v>252</v>
      </c>
      <c r="C90" s="568"/>
      <c r="D90" s="568"/>
      <c r="E90" s="568"/>
      <c r="F90" s="568"/>
      <c r="G90" s="569"/>
      <c r="H90" s="1147" t="s">
        <v>253</v>
      </c>
      <c r="I90" s="1147"/>
      <c r="J90" s="1147"/>
      <c r="K90" s="1148"/>
      <c r="L90" s="1150" t="s">
        <v>254</v>
      </c>
      <c r="M90" s="1148"/>
      <c r="N90" s="1147" t="s">
        <v>255</v>
      </c>
      <c r="O90" s="1147"/>
      <c r="P90" s="1147"/>
      <c r="Q90" s="1148"/>
      <c r="R90" s="551"/>
      <c r="S90" s="551"/>
      <c r="T90" s="551"/>
      <c r="U90" s="551"/>
    </row>
    <row r="91" spans="1:21" s="551" customFormat="1" ht="57.5" x14ac:dyDescent="0.25">
      <c r="A91" s="552"/>
      <c r="B91" s="618" t="s">
        <v>244</v>
      </c>
      <c r="C91" s="618" t="s">
        <v>256</v>
      </c>
      <c r="D91" s="618" t="s">
        <v>257</v>
      </c>
      <c r="E91" s="619" t="s">
        <v>280</v>
      </c>
      <c r="F91" s="619" t="s">
        <v>259</v>
      </c>
      <c r="G91" s="620" t="s">
        <v>260</v>
      </c>
      <c r="H91" s="576" t="s">
        <v>261</v>
      </c>
      <c r="I91" s="577" t="s">
        <v>262</v>
      </c>
      <c r="J91" s="577" t="s">
        <v>263</v>
      </c>
      <c r="K91" s="577" t="s">
        <v>276</v>
      </c>
      <c r="L91" s="578" t="s">
        <v>265</v>
      </c>
      <c r="M91" s="579" t="s">
        <v>266</v>
      </c>
      <c r="N91" s="576" t="s">
        <v>277</v>
      </c>
      <c r="O91" s="580" t="s">
        <v>278</v>
      </c>
      <c r="P91" s="580" t="s">
        <v>269</v>
      </c>
      <c r="Q91" s="581" t="s">
        <v>270</v>
      </c>
    </row>
    <row r="92" spans="1:21" s="617" customFormat="1" ht="14.15" customHeight="1" x14ac:dyDescent="0.25">
      <c r="A92" s="616"/>
      <c r="B92" s="555"/>
      <c r="C92" s="583"/>
      <c r="D92" s="1087"/>
      <c r="E92" s="583"/>
      <c r="F92" s="585"/>
      <c r="G92" s="586">
        <f>+I92+K92+L92+M92</f>
        <v>0</v>
      </c>
      <c r="H92" s="587"/>
      <c r="I92" s="586">
        <f t="shared" ref="I92:I108" si="15">+H92*Verm_KV</f>
        <v>0</v>
      </c>
      <c r="J92" s="587"/>
      <c r="K92" s="587"/>
      <c r="L92" s="587"/>
      <c r="M92" s="587"/>
      <c r="N92" s="586">
        <f>+I92+K92</f>
        <v>0</v>
      </c>
      <c r="O92" s="586">
        <f t="shared" ref="O92:O108" si="16">+L92+M92</f>
        <v>0</v>
      </c>
      <c r="P92" s="559">
        <f>IFERROR(F92/G92*O92,0)</f>
        <v>0</v>
      </c>
      <c r="Q92" s="560">
        <f t="shared" ref="Q92:Q108" si="17">IFERROR(F92/G92*N92,0)</f>
        <v>0</v>
      </c>
    </row>
    <row r="93" spans="1:21" s="617" customFormat="1" ht="14.15" customHeight="1" x14ac:dyDescent="0.25">
      <c r="A93" s="616"/>
      <c r="B93" s="555"/>
      <c r="C93" s="583"/>
      <c r="D93" s="1087"/>
      <c r="E93" s="583"/>
      <c r="F93" s="585"/>
      <c r="G93" s="586">
        <f t="shared" ref="G93:G108" si="18">+I93+K93+L93+M93</f>
        <v>0</v>
      </c>
      <c r="H93" s="587"/>
      <c r="I93" s="586">
        <f t="shared" si="15"/>
        <v>0</v>
      </c>
      <c r="J93" s="587"/>
      <c r="K93" s="587"/>
      <c r="L93" s="587"/>
      <c r="M93" s="587"/>
      <c r="N93" s="586">
        <f t="shared" ref="N93:N108" si="19">+I93+K93</f>
        <v>0</v>
      </c>
      <c r="O93" s="586">
        <f t="shared" si="16"/>
        <v>0</v>
      </c>
      <c r="P93" s="559">
        <f t="shared" ref="P93:P108" si="20">IFERROR(F93/G93*O93,0)</f>
        <v>0</v>
      </c>
      <c r="Q93" s="560">
        <f t="shared" si="17"/>
        <v>0</v>
      </c>
      <c r="R93" s="394"/>
    </row>
    <row r="94" spans="1:21" s="617" customFormat="1" ht="14.15" customHeight="1" x14ac:dyDescent="0.25">
      <c r="A94" s="616"/>
      <c r="B94" s="555"/>
      <c r="C94" s="583"/>
      <c r="D94" s="1087"/>
      <c r="E94" s="583"/>
      <c r="F94" s="585"/>
      <c r="G94" s="586">
        <f t="shared" si="18"/>
        <v>0</v>
      </c>
      <c r="H94" s="587"/>
      <c r="I94" s="586">
        <f t="shared" si="15"/>
        <v>0</v>
      </c>
      <c r="J94" s="587"/>
      <c r="K94" s="587"/>
      <c r="L94" s="587"/>
      <c r="M94" s="587"/>
      <c r="N94" s="586">
        <f t="shared" si="19"/>
        <v>0</v>
      </c>
      <c r="O94" s="586">
        <f t="shared" si="16"/>
        <v>0</v>
      </c>
      <c r="P94" s="559">
        <f t="shared" si="20"/>
        <v>0</v>
      </c>
      <c r="Q94" s="560">
        <f t="shared" si="17"/>
        <v>0</v>
      </c>
      <c r="R94" s="394"/>
    </row>
    <row r="95" spans="1:21" s="617" customFormat="1" ht="14.15" customHeight="1" x14ac:dyDescent="0.25">
      <c r="A95" s="616"/>
      <c r="B95" s="555"/>
      <c r="C95" s="583"/>
      <c r="D95" s="1087"/>
      <c r="E95" s="583"/>
      <c r="F95" s="585"/>
      <c r="G95" s="586">
        <f t="shared" si="18"/>
        <v>0</v>
      </c>
      <c r="H95" s="587"/>
      <c r="I95" s="586">
        <f t="shared" si="15"/>
        <v>0</v>
      </c>
      <c r="J95" s="587"/>
      <c r="K95" s="587"/>
      <c r="L95" s="587"/>
      <c r="M95" s="587"/>
      <c r="N95" s="586">
        <f t="shared" si="19"/>
        <v>0</v>
      </c>
      <c r="O95" s="586">
        <f t="shared" si="16"/>
        <v>0</v>
      </c>
      <c r="P95" s="559">
        <f t="shared" si="20"/>
        <v>0</v>
      </c>
      <c r="Q95" s="560">
        <f t="shared" si="17"/>
        <v>0</v>
      </c>
      <c r="R95" s="394"/>
    </row>
    <row r="96" spans="1:21" s="617" customFormat="1" ht="14.15" customHeight="1" x14ac:dyDescent="0.25">
      <c r="A96" s="616"/>
      <c r="B96" s="555"/>
      <c r="C96" s="583"/>
      <c r="D96" s="1087"/>
      <c r="E96" s="583"/>
      <c r="F96" s="585"/>
      <c r="G96" s="586">
        <f t="shared" si="18"/>
        <v>0</v>
      </c>
      <c r="H96" s="587"/>
      <c r="I96" s="586">
        <f t="shared" si="15"/>
        <v>0</v>
      </c>
      <c r="J96" s="587"/>
      <c r="K96" s="587"/>
      <c r="L96" s="587"/>
      <c r="M96" s="587"/>
      <c r="N96" s="586">
        <f t="shared" si="19"/>
        <v>0</v>
      </c>
      <c r="O96" s="586">
        <f t="shared" si="16"/>
        <v>0</v>
      </c>
      <c r="P96" s="559">
        <f t="shared" si="20"/>
        <v>0</v>
      </c>
      <c r="Q96" s="560">
        <f t="shared" si="17"/>
        <v>0</v>
      </c>
      <c r="R96" s="394"/>
    </row>
    <row r="97" spans="1:21" s="617" customFormat="1" ht="14.15" customHeight="1" x14ac:dyDescent="0.25">
      <c r="A97" s="616"/>
      <c r="B97" s="555"/>
      <c r="C97" s="583"/>
      <c r="D97" s="1087"/>
      <c r="E97" s="583"/>
      <c r="F97" s="585"/>
      <c r="G97" s="586">
        <f t="shared" si="18"/>
        <v>0</v>
      </c>
      <c r="H97" s="587"/>
      <c r="I97" s="586">
        <f t="shared" si="15"/>
        <v>0</v>
      </c>
      <c r="J97" s="587"/>
      <c r="K97" s="587"/>
      <c r="L97" s="587"/>
      <c r="M97" s="587"/>
      <c r="N97" s="586">
        <f t="shared" si="19"/>
        <v>0</v>
      </c>
      <c r="O97" s="586">
        <f t="shared" si="16"/>
        <v>0</v>
      </c>
      <c r="P97" s="559">
        <f t="shared" si="20"/>
        <v>0</v>
      </c>
      <c r="Q97" s="560">
        <f t="shared" si="17"/>
        <v>0</v>
      </c>
      <c r="R97" s="394"/>
    </row>
    <row r="98" spans="1:21" s="617" customFormat="1" ht="14.15" customHeight="1" x14ac:dyDescent="0.25">
      <c r="A98" s="616"/>
      <c r="B98" s="555"/>
      <c r="C98" s="583"/>
      <c r="D98" s="1087"/>
      <c r="E98" s="583"/>
      <c r="F98" s="585"/>
      <c r="G98" s="586">
        <f t="shared" si="18"/>
        <v>0</v>
      </c>
      <c r="H98" s="587"/>
      <c r="I98" s="586">
        <f t="shared" si="15"/>
        <v>0</v>
      </c>
      <c r="J98" s="587"/>
      <c r="K98" s="587"/>
      <c r="L98" s="587"/>
      <c r="M98" s="587"/>
      <c r="N98" s="586">
        <f t="shared" si="19"/>
        <v>0</v>
      </c>
      <c r="O98" s="586">
        <f t="shared" si="16"/>
        <v>0</v>
      </c>
      <c r="P98" s="559">
        <f t="shared" si="20"/>
        <v>0</v>
      </c>
      <c r="Q98" s="560">
        <f t="shared" si="17"/>
        <v>0</v>
      </c>
      <c r="R98" s="394"/>
    </row>
    <row r="99" spans="1:21" s="617" customFormat="1" ht="14.15" customHeight="1" x14ac:dyDescent="0.25">
      <c r="A99" s="616"/>
      <c r="B99" s="555"/>
      <c r="C99" s="583"/>
      <c r="D99" s="1087"/>
      <c r="E99" s="583"/>
      <c r="F99" s="585"/>
      <c r="G99" s="586">
        <f t="shared" si="18"/>
        <v>0</v>
      </c>
      <c r="H99" s="587"/>
      <c r="I99" s="586">
        <f t="shared" si="15"/>
        <v>0</v>
      </c>
      <c r="J99" s="587"/>
      <c r="K99" s="587"/>
      <c r="L99" s="587"/>
      <c r="M99" s="587"/>
      <c r="N99" s="586">
        <f t="shared" si="19"/>
        <v>0</v>
      </c>
      <c r="O99" s="586">
        <f t="shared" si="16"/>
        <v>0</v>
      </c>
      <c r="P99" s="559">
        <f t="shared" si="20"/>
        <v>0</v>
      </c>
      <c r="Q99" s="560">
        <f t="shared" si="17"/>
        <v>0</v>
      </c>
      <c r="R99" s="394"/>
    </row>
    <row r="100" spans="1:21" s="617" customFormat="1" ht="14.15" customHeight="1" x14ac:dyDescent="0.25">
      <c r="A100" s="616"/>
      <c r="B100" s="555"/>
      <c r="C100" s="583"/>
      <c r="D100" s="1087"/>
      <c r="E100" s="583"/>
      <c r="F100" s="585"/>
      <c r="G100" s="586">
        <f t="shared" si="18"/>
        <v>0</v>
      </c>
      <c r="H100" s="587"/>
      <c r="I100" s="586">
        <f t="shared" si="15"/>
        <v>0</v>
      </c>
      <c r="J100" s="587"/>
      <c r="K100" s="587"/>
      <c r="L100" s="587"/>
      <c r="M100" s="587"/>
      <c r="N100" s="586">
        <f t="shared" si="19"/>
        <v>0</v>
      </c>
      <c r="O100" s="586">
        <f t="shared" si="16"/>
        <v>0</v>
      </c>
      <c r="P100" s="559">
        <f t="shared" si="20"/>
        <v>0</v>
      </c>
      <c r="Q100" s="560">
        <f t="shared" si="17"/>
        <v>0</v>
      </c>
      <c r="R100" s="394"/>
    </row>
    <row r="101" spans="1:21" s="617" customFormat="1" ht="14.15" customHeight="1" x14ac:dyDescent="0.25">
      <c r="A101" s="616"/>
      <c r="B101" s="555"/>
      <c r="C101" s="583"/>
      <c r="D101" s="1087"/>
      <c r="E101" s="583"/>
      <c r="F101" s="585"/>
      <c r="G101" s="586">
        <f t="shared" si="18"/>
        <v>0</v>
      </c>
      <c r="H101" s="587"/>
      <c r="I101" s="586">
        <f t="shared" si="15"/>
        <v>0</v>
      </c>
      <c r="J101" s="587"/>
      <c r="K101" s="587"/>
      <c r="L101" s="587"/>
      <c r="M101" s="587"/>
      <c r="N101" s="586">
        <f t="shared" si="19"/>
        <v>0</v>
      </c>
      <c r="O101" s="586">
        <f t="shared" si="16"/>
        <v>0</v>
      </c>
      <c r="P101" s="559">
        <f t="shared" si="20"/>
        <v>0</v>
      </c>
      <c r="Q101" s="560">
        <f t="shared" si="17"/>
        <v>0</v>
      </c>
      <c r="R101" s="394"/>
    </row>
    <row r="102" spans="1:21" s="617" customFormat="1" ht="14.15" customHeight="1" x14ac:dyDescent="0.25">
      <c r="A102" s="616"/>
      <c r="B102" s="555"/>
      <c r="C102" s="583"/>
      <c r="D102" s="1087"/>
      <c r="E102" s="583"/>
      <c r="F102" s="585"/>
      <c r="G102" s="586">
        <f t="shared" si="18"/>
        <v>0</v>
      </c>
      <c r="H102" s="587"/>
      <c r="I102" s="586">
        <f t="shared" si="15"/>
        <v>0</v>
      </c>
      <c r="J102" s="587"/>
      <c r="K102" s="587"/>
      <c r="L102" s="587"/>
      <c r="M102" s="587"/>
      <c r="N102" s="586">
        <f t="shared" si="19"/>
        <v>0</v>
      </c>
      <c r="O102" s="586">
        <f t="shared" si="16"/>
        <v>0</v>
      </c>
      <c r="P102" s="559">
        <f t="shared" si="20"/>
        <v>0</v>
      </c>
      <c r="Q102" s="560">
        <f t="shared" si="17"/>
        <v>0</v>
      </c>
      <c r="R102" s="394"/>
    </row>
    <row r="103" spans="1:21" s="617" customFormat="1" ht="14.15" customHeight="1" x14ac:dyDescent="0.25">
      <c r="A103" s="616"/>
      <c r="B103" s="555"/>
      <c r="C103" s="583"/>
      <c r="D103" s="1087"/>
      <c r="E103" s="583"/>
      <c r="F103" s="585"/>
      <c r="G103" s="586">
        <f t="shared" si="18"/>
        <v>0</v>
      </c>
      <c r="H103" s="587"/>
      <c r="I103" s="586">
        <f t="shared" si="15"/>
        <v>0</v>
      </c>
      <c r="J103" s="587"/>
      <c r="K103" s="587"/>
      <c r="L103" s="587"/>
      <c r="M103" s="587"/>
      <c r="N103" s="586">
        <f t="shared" si="19"/>
        <v>0</v>
      </c>
      <c r="O103" s="586">
        <f t="shared" si="16"/>
        <v>0</v>
      </c>
      <c r="P103" s="559">
        <f t="shared" si="20"/>
        <v>0</v>
      </c>
      <c r="Q103" s="560">
        <f t="shared" si="17"/>
        <v>0</v>
      </c>
      <c r="R103" s="394"/>
    </row>
    <row r="104" spans="1:21" s="617" customFormat="1" ht="14.15" customHeight="1" x14ac:dyDescent="0.25">
      <c r="A104" s="616"/>
      <c r="B104" s="555"/>
      <c r="C104" s="583"/>
      <c r="D104" s="1087"/>
      <c r="E104" s="583"/>
      <c r="F104" s="585"/>
      <c r="G104" s="586">
        <f t="shared" si="18"/>
        <v>0</v>
      </c>
      <c r="H104" s="587"/>
      <c r="I104" s="586">
        <f t="shared" si="15"/>
        <v>0</v>
      </c>
      <c r="J104" s="587"/>
      <c r="K104" s="587"/>
      <c r="L104" s="587"/>
      <c r="M104" s="587"/>
      <c r="N104" s="586">
        <f t="shared" si="19"/>
        <v>0</v>
      </c>
      <c r="O104" s="586">
        <f t="shared" si="16"/>
        <v>0</v>
      </c>
      <c r="P104" s="559">
        <f t="shared" si="20"/>
        <v>0</v>
      </c>
      <c r="Q104" s="560">
        <f t="shared" si="17"/>
        <v>0</v>
      </c>
      <c r="R104" s="394"/>
    </row>
    <row r="105" spans="1:21" s="617" customFormat="1" ht="14.15" customHeight="1" x14ac:dyDescent="0.25">
      <c r="A105" s="616"/>
      <c r="B105" s="555"/>
      <c r="C105" s="583"/>
      <c r="D105" s="1087"/>
      <c r="E105" s="583"/>
      <c r="F105" s="585"/>
      <c r="G105" s="586">
        <f t="shared" si="18"/>
        <v>0</v>
      </c>
      <c r="H105" s="587"/>
      <c r="I105" s="586">
        <f t="shared" si="15"/>
        <v>0</v>
      </c>
      <c r="J105" s="587"/>
      <c r="K105" s="587"/>
      <c r="L105" s="587"/>
      <c r="M105" s="587"/>
      <c r="N105" s="586">
        <f t="shared" si="19"/>
        <v>0</v>
      </c>
      <c r="O105" s="586">
        <f t="shared" si="16"/>
        <v>0</v>
      </c>
      <c r="P105" s="559">
        <f t="shared" si="20"/>
        <v>0</v>
      </c>
      <c r="Q105" s="560">
        <f t="shared" si="17"/>
        <v>0</v>
      </c>
      <c r="R105" s="394"/>
    </row>
    <row r="106" spans="1:21" s="617" customFormat="1" ht="14.15" customHeight="1" x14ac:dyDescent="0.25">
      <c r="A106" s="616"/>
      <c r="B106" s="555"/>
      <c r="C106" s="583"/>
      <c r="D106" s="1087"/>
      <c r="E106" s="583"/>
      <c r="F106" s="585"/>
      <c r="G106" s="586">
        <f t="shared" si="18"/>
        <v>0</v>
      </c>
      <c r="H106" s="587"/>
      <c r="I106" s="586">
        <f t="shared" si="15"/>
        <v>0</v>
      </c>
      <c r="J106" s="587"/>
      <c r="K106" s="587"/>
      <c r="L106" s="587"/>
      <c r="M106" s="587"/>
      <c r="N106" s="586">
        <f t="shared" si="19"/>
        <v>0</v>
      </c>
      <c r="O106" s="586">
        <f t="shared" si="16"/>
        <v>0</v>
      </c>
      <c r="P106" s="559">
        <f t="shared" si="20"/>
        <v>0</v>
      </c>
      <c r="Q106" s="560">
        <f t="shared" si="17"/>
        <v>0</v>
      </c>
      <c r="R106" s="394"/>
    </row>
    <row r="107" spans="1:21" s="617" customFormat="1" ht="14.15" customHeight="1" x14ac:dyDescent="0.25">
      <c r="A107" s="616"/>
      <c r="B107" s="555"/>
      <c r="C107" s="583"/>
      <c r="D107" s="1087"/>
      <c r="E107" s="583"/>
      <c r="F107" s="585"/>
      <c r="G107" s="586">
        <f t="shared" si="18"/>
        <v>0</v>
      </c>
      <c r="H107" s="587"/>
      <c r="I107" s="586">
        <f t="shared" si="15"/>
        <v>0</v>
      </c>
      <c r="J107" s="587"/>
      <c r="K107" s="587"/>
      <c r="L107" s="587"/>
      <c r="M107" s="587"/>
      <c r="N107" s="586">
        <f t="shared" si="19"/>
        <v>0</v>
      </c>
      <c r="O107" s="586">
        <f t="shared" si="16"/>
        <v>0</v>
      </c>
      <c r="P107" s="559">
        <f t="shared" si="20"/>
        <v>0</v>
      </c>
      <c r="Q107" s="560">
        <f t="shared" si="17"/>
        <v>0</v>
      </c>
      <c r="R107" s="394"/>
    </row>
    <row r="108" spans="1:21" s="617" customFormat="1" ht="14.15" customHeight="1" thickBot="1" x14ac:dyDescent="0.3">
      <c r="A108" s="616"/>
      <c r="B108" s="555"/>
      <c r="C108" s="583"/>
      <c r="D108" s="1087"/>
      <c r="E108" s="583"/>
      <c r="F108" s="590"/>
      <c r="G108" s="586">
        <f t="shared" si="18"/>
        <v>0</v>
      </c>
      <c r="H108" s="587"/>
      <c r="I108" s="586">
        <f t="shared" si="15"/>
        <v>0</v>
      </c>
      <c r="J108" s="587"/>
      <c r="K108" s="587"/>
      <c r="L108" s="587"/>
      <c r="M108" s="587"/>
      <c r="N108" s="586">
        <f t="shared" si="19"/>
        <v>0</v>
      </c>
      <c r="O108" s="586">
        <f t="shared" si="16"/>
        <v>0</v>
      </c>
      <c r="P108" s="559">
        <f t="shared" si="20"/>
        <v>0</v>
      </c>
      <c r="Q108" s="560">
        <f t="shared" si="17"/>
        <v>0</v>
      </c>
      <c r="R108" s="394"/>
    </row>
    <row r="109" spans="1:21" s="617" customFormat="1" ht="14.15" customHeight="1" thickBot="1" x14ac:dyDescent="0.3">
      <c r="A109" s="616"/>
      <c r="C109" s="513"/>
      <c r="D109" s="1088">
        <f>SUM(D92:D108)</f>
        <v>0</v>
      </c>
      <c r="E109" s="513"/>
      <c r="F109" s="592">
        <f>SUM(F92:F108)</f>
        <v>0</v>
      </c>
      <c r="G109" s="394" t="str">
        <f>IF(D109&gt;0,IF(F109/D109&gt;Df_Sw,"Let op. Waarde komt boven de defaultwaarde van € "&amp;TEXT(Df_Sw,"0.00")&amp;" per kilometer uit. Dit is alleen toegestaan met een goede onderbouwing in het projectplan en met offertes en/of kostenramingen.",""),"")</f>
        <v/>
      </c>
      <c r="H109" s="593"/>
      <c r="I109" s="593"/>
      <c r="J109" s="513"/>
      <c r="K109" s="515"/>
      <c r="L109" s="513"/>
      <c r="M109" s="513"/>
      <c r="N109" s="513"/>
      <c r="O109" s="513"/>
      <c r="P109" s="513"/>
      <c r="R109" s="513"/>
      <c r="S109" s="513"/>
      <c r="T109" s="513"/>
    </row>
    <row r="110" spans="1:21" s="617" customFormat="1" ht="14.15" customHeight="1" thickBot="1" x14ac:dyDescent="0.3">
      <c r="A110" s="616"/>
      <c r="B110" s="594" t="s">
        <v>281</v>
      </c>
      <c r="C110" s="621"/>
      <c r="D110" s="621"/>
      <c r="E110" s="621"/>
      <c r="F110" s="621"/>
      <c r="G110" s="621"/>
      <c r="H110" s="621"/>
      <c r="I110" s="621"/>
      <c r="J110" s="622"/>
      <c r="K110" s="623"/>
      <c r="L110" s="624"/>
      <c r="M110" s="624"/>
      <c r="N110" s="624"/>
      <c r="O110" s="624"/>
      <c r="P110" s="625"/>
      <c r="Q110" s="600">
        <f>SUM(Q92:Q108)</f>
        <v>0</v>
      </c>
    </row>
    <row r="111" spans="1:21" s="626" customFormat="1" ht="13.5" x14ac:dyDescent="0.25"/>
    <row r="112" spans="1:21" s="626" customFormat="1" ht="14.25" customHeight="1" x14ac:dyDescent="0.25">
      <c r="B112" s="520" t="s">
        <v>164</v>
      </c>
      <c r="C112" s="520"/>
      <c r="D112" s="564"/>
      <c r="E112" s="521"/>
      <c r="F112" s="614"/>
      <c r="G112" s="614"/>
      <c r="H112" s="614"/>
      <c r="I112" s="615"/>
      <c r="J112" s="615"/>
      <c r="K112" s="615"/>
      <c r="L112" s="615"/>
      <c r="M112" s="615"/>
      <c r="N112" s="615"/>
      <c r="O112" s="615"/>
      <c r="P112" s="615"/>
      <c r="Q112" s="615"/>
      <c r="R112" s="464"/>
      <c r="S112" s="627"/>
      <c r="T112" s="627"/>
      <c r="U112" s="627"/>
    </row>
    <row r="113" spans="2:21" s="626" customFormat="1" ht="14.25" customHeight="1" thickBot="1" x14ac:dyDescent="0.3">
      <c r="B113" s="869" t="s">
        <v>252</v>
      </c>
      <c r="C113" s="628"/>
      <c r="D113" s="629"/>
      <c r="E113" s="630"/>
      <c r="F113" s="983"/>
      <c r="G113" s="983"/>
      <c r="H113" s="983"/>
      <c r="I113" s="984"/>
      <c r="J113" s="984"/>
      <c r="K113" s="984"/>
      <c r="L113" s="984"/>
      <c r="M113" s="984"/>
      <c r="N113" s="984"/>
      <c r="O113" s="984"/>
      <c r="P113" s="985"/>
      <c r="Q113" s="985"/>
      <c r="R113" s="464"/>
      <c r="S113" s="627"/>
      <c r="T113" s="627"/>
      <c r="U113" s="627"/>
    </row>
    <row r="114" spans="2:21" s="627" customFormat="1" ht="46" x14ac:dyDescent="0.25">
      <c r="B114" s="958" t="s">
        <v>244</v>
      </c>
      <c r="C114" s="943" t="s">
        <v>282</v>
      </c>
      <c r="D114" s="959" t="s">
        <v>261</v>
      </c>
      <c r="E114" s="959" t="s">
        <v>283</v>
      </c>
      <c r="F114" s="1100" t="s">
        <v>284</v>
      </c>
      <c r="G114" s="1101" t="s">
        <v>285</v>
      </c>
      <c r="H114" s="960" t="s">
        <v>286</v>
      </c>
      <c r="I114" s="987"/>
      <c r="J114" s="987"/>
      <c r="K114" s="987"/>
      <c r="L114" s="987"/>
      <c r="M114" s="987"/>
      <c r="N114" s="987"/>
      <c r="O114" s="987"/>
      <c r="P114" s="988"/>
      <c r="Q114" s="961" t="s">
        <v>270</v>
      </c>
    </row>
    <row r="115" spans="2:21" s="626" customFormat="1" ht="14.15" customHeight="1" x14ac:dyDescent="0.25">
      <c r="B115" s="945"/>
      <c r="C115" s="583"/>
      <c r="D115" s="1125"/>
      <c r="E115" s="583"/>
      <c r="F115" s="585"/>
      <c r="G115" s="585"/>
      <c r="H115" s="1083"/>
      <c r="I115" s="1076"/>
      <c r="J115" s="1076"/>
      <c r="K115" s="1076"/>
      <c r="L115" s="1076"/>
      <c r="M115" s="1076"/>
      <c r="N115" s="1076"/>
      <c r="O115" s="1076"/>
      <c r="P115" s="1077"/>
      <c r="Q115" s="946">
        <f t="shared" ref="Q115:Q144" si="21">D115*(F115+G115)</f>
        <v>0</v>
      </c>
    </row>
    <row r="116" spans="2:21" s="626" customFormat="1" ht="14.15" customHeight="1" x14ac:dyDescent="0.25">
      <c r="B116" s="945"/>
      <c r="C116" s="583"/>
      <c r="D116" s="1126"/>
      <c r="E116" s="583"/>
      <c r="F116" s="585"/>
      <c r="G116" s="585"/>
      <c r="H116" s="1083"/>
      <c r="I116" s="1076"/>
      <c r="J116" s="1076"/>
      <c r="K116" s="1076"/>
      <c r="L116" s="1076"/>
      <c r="M116" s="1076"/>
      <c r="N116" s="1076"/>
      <c r="O116" s="1076"/>
      <c r="P116" s="1077"/>
      <c r="Q116" s="946">
        <f t="shared" si="21"/>
        <v>0</v>
      </c>
    </row>
    <row r="117" spans="2:21" s="626" customFormat="1" ht="14.15" customHeight="1" x14ac:dyDescent="0.25">
      <c r="B117" s="945"/>
      <c r="C117" s="583"/>
      <c r="D117" s="1126"/>
      <c r="E117" s="583"/>
      <c r="F117" s="585"/>
      <c r="G117" s="585"/>
      <c r="H117" s="1083"/>
      <c r="I117" s="1076"/>
      <c r="J117" s="1076"/>
      <c r="K117" s="1076"/>
      <c r="L117" s="1076"/>
      <c r="M117" s="1076"/>
      <c r="N117" s="1076"/>
      <c r="O117" s="1076"/>
      <c r="P117" s="1077"/>
      <c r="Q117" s="946">
        <f t="shared" si="21"/>
        <v>0</v>
      </c>
    </row>
    <row r="118" spans="2:21" s="626" customFormat="1" ht="14.15" customHeight="1" x14ac:dyDescent="0.25">
      <c r="B118" s="945"/>
      <c r="C118" s="583"/>
      <c r="D118" s="1126"/>
      <c r="E118" s="583"/>
      <c r="F118" s="585"/>
      <c r="G118" s="585"/>
      <c r="H118" s="1083"/>
      <c r="I118" s="1076"/>
      <c r="J118" s="1076"/>
      <c r="K118" s="1076"/>
      <c r="L118" s="1076"/>
      <c r="M118" s="1076"/>
      <c r="N118" s="1076"/>
      <c r="O118" s="1076"/>
      <c r="P118" s="1077"/>
      <c r="Q118" s="946">
        <f t="shared" si="21"/>
        <v>0</v>
      </c>
    </row>
    <row r="119" spans="2:21" s="626" customFormat="1" ht="14.15" customHeight="1" x14ac:dyDescent="0.25">
      <c r="B119" s="945"/>
      <c r="C119" s="583"/>
      <c r="D119" s="1126"/>
      <c r="E119" s="583"/>
      <c r="F119" s="585"/>
      <c r="G119" s="585"/>
      <c r="H119" s="1083"/>
      <c r="I119" s="1076"/>
      <c r="J119" s="1076"/>
      <c r="K119" s="1076"/>
      <c r="L119" s="1076"/>
      <c r="M119" s="1076"/>
      <c r="N119" s="1076"/>
      <c r="O119" s="1076"/>
      <c r="P119" s="1077"/>
      <c r="Q119" s="946">
        <f t="shared" si="21"/>
        <v>0</v>
      </c>
    </row>
    <row r="120" spans="2:21" s="626" customFormat="1" ht="14.15" customHeight="1" x14ac:dyDescent="0.25">
      <c r="B120" s="945"/>
      <c r="C120" s="583"/>
      <c r="D120" s="1126"/>
      <c r="E120" s="583"/>
      <c r="F120" s="585"/>
      <c r="G120" s="585"/>
      <c r="H120" s="1083"/>
      <c r="I120" s="1076"/>
      <c r="J120" s="1076"/>
      <c r="K120" s="1076"/>
      <c r="L120" s="1076"/>
      <c r="M120" s="1076"/>
      <c r="N120" s="1076"/>
      <c r="O120" s="1076"/>
      <c r="P120" s="1077"/>
      <c r="Q120" s="946">
        <f t="shared" si="21"/>
        <v>0</v>
      </c>
    </row>
    <row r="121" spans="2:21" s="626" customFormat="1" ht="14.15" customHeight="1" x14ac:dyDescent="0.25">
      <c r="B121" s="945"/>
      <c r="C121" s="583"/>
      <c r="D121" s="1123"/>
      <c r="E121" s="583"/>
      <c r="F121" s="585"/>
      <c r="G121" s="585"/>
      <c r="H121" s="1083"/>
      <c r="I121" s="1076"/>
      <c r="J121" s="1076"/>
      <c r="K121" s="1076"/>
      <c r="L121" s="1076"/>
      <c r="M121" s="1076"/>
      <c r="N121" s="1076"/>
      <c r="O121" s="1076"/>
      <c r="P121" s="1077"/>
      <c r="Q121" s="946">
        <f t="shared" si="21"/>
        <v>0</v>
      </c>
    </row>
    <row r="122" spans="2:21" s="626" customFormat="1" ht="14.15" customHeight="1" x14ac:dyDescent="0.25">
      <c r="B122" s="945"/>
      <c r="C122" s="583"/>
      <c r="D122" s="1123"/>
      <c r="E122" s="583"/>
      <c r="F122" s="585"/>
      <c r="G122" s="585"/>
      <c r="H122" s="1083"/>
      <c r="I122" s="1076"/>
      <c r="J122" s="1076"/>
      <c r="K122" s="1076"/>
      <c r="L122" s="1076"/>
      <c r="M122" s="1076"/>
      <c r="N122" s="1076"/>
      <c r="O122" s="1076"/>
      <c r="P122" s="1077"/>
      <c r="Q122" s="946">
        <f t="shared" si="21"/>
        <v>0</v>
      </c>
    </row>
    <row r="123" spans="2:21" s="626" customFormat="1" ht="14.15" customHeight="1" x14ac:dyDescent="0.25">
      <c r="B123" s="945"/>
      <c r="C123" s="583"/>
      <c r="D123" s="1123"/>
      <c r="E123" s="583"/>
      <c r="F123" s="585"/>
      <c r="G123" s="585"/>
      <c r="H123" s="1083"/>
      <c r="I123" s="1076"/>
      <c r="J123" s="1076"/>
      <c r="K123" s="1076"/>
      <c r="L123" s="1076"/>
      <c r="M123" s="1076"/>
      <c r="N123" s="1076"/>
      <c r="O123" s="1076"/>
      <c r="P123" s="1077"/>
      <c r="Q123" s="946">
        <f t="shared" si="21"/>
        <v>0</v>
      </c>
    </row>
    <row r="124" spans="2:21" s="626" customFormat="1" ht="14.15" customHeight="1" x14ac:dyDescent="0.25">
      <c r="B124" s="945"/>
      <c r="C124" s="583"/>
      <c r="D124" s="1123"/>
      <c r="E124" s="583"/>
      <c r="F124" s="585"/>
      <c r="G124" s="585"/>
      <c r="H124" s="1083"/>
      <c r="I124" s="1076"/>
      <c r="J124" s="1076"/>
      <c r="K124" s="1076"/>
      <c r="L124" s="1076"/>
      <c r="M124" s="1076"/>
      <c r="N124" s="1076"/>
      <c r="O124" s="1076"/>
      <c r="P124" s="1077"/>
      <c r="Q124" s="946">
        <f t="shared" si="21"/>
        <v>0</v>
      </c>
    </row>
    <row r="125" spans="2:21" s="626" customFormat="1" ht="14.15" customHeight="1" x14ac:dyDescent="0.25">
      <c r="B125" s="945"/>
      <c r="C125" s="583"/>
      <c r="D125" s="1123"/>
      <c r="E125" s="583"/>
      <c r="F125" s="585"/>
      <c r="G125" s="585"/>
      <c r="H125" s="1083"/>
      <c r="I125" s="1076"/>
      <c r="J125" s="1076"/>
      <c r="K125" s="1076"/>
      <c r="L125" s="1076"/>
      <c r="M125" s="1076"/>
      <c r="N125" s="1076"/>
      <c r="O125" s="1076"/>
      <c r="P125" s="1077"/>
      <c r="Q125" s="946">
        <f t="shared" si="21"/>
        <v>0</v>
      </c>
    </row>
    <row r="126" spans="2:21" s="626" customFormat="1" ht="14.15" customHeight="1" x14ac:dyDescent="0.25">
      <c r="B126" s="945"/>
      <c r="C126" s="583"/>
      <c r="D126" s="1123"/>
      <c r="E126" s="583"/>
      <c r="F126" s="585"/>
      <c r="G126" s="585"/>
      <c r="H126" s="1083"/>
      <c r="I126" s="1076"/>
      <c r="J126" s="1076"/>
      <c r="K126" s="1076"/>
      <c r="L126" s="1076"/>
      <c r="M126" s="1076"/>
      <c r="N126" s="1076"/>
      <c r="O126" s="1076"/>
      <c r="P126" s="1077"/>
      <c r="Q126" s="946">
        <f t="shared" si="21"/>
        <v>0</v>
      </c>
    </row>
    <row r="127" spans="2:21" s="626" customFormat="1" ht="14.15" customHeight="1" x14ac:dyDescent="0.25">
      <c r="B127" s="945"/>
      <c r="C127" s="583"/>
      <c r="D127" s="1123"/>
      <c r="E127" s="583"/>
      <c r="F127" s="585"/>
      <c r="G127" s="585"/>
      <c r="H127" s="1083"/>
      <c r="I127" s="1076"/>
      <c r="J127" s="1076"/>
      <c r="K127" s="1076"/>
      <c r="L127" s="1076"/>
      <c r="M127" s="1076"/>
      <c r="N127" s="1076"/>
      <c r="O127" s="1076"/>
      <c r="P127" s="1077"/>
      <c r="Q127" s="946">
        <f t="shared" si="21"/>
        <v>0</v>
      </c>
    </row>
    <row r="128" spans="2:21" s="626" customFormat="1" ht="14.15" customHeight="1" x14ac:dyDescent="0.25">
      <c r="B128" s="945"/>
      <c r="C128" s="583"/>
      <c r="D128" s="1123"/>
      <c r="E128" s="583"/>
      <c r="F128" s="585"/>
      <c r="G128" s="585"/>
      <c r="H128" s="1083"/>
      <c r="I128" s="1076"/>
      <c r="J128" s="1076"/>
      <c r="K128" s="1076"/>
      <c r="L128" s="1076"/>
      <c r="M128" s="1076"/>
      <c r="N128" s="1076"/>
      <c r="O128" s="1076"/>
      <c r="P128" s="1077"/>
      <c r="Q128" s="946">
        <f t="shared" si="21"/>
        <v>0</v>
      </c>
    </row>
    <row r="129" spans="2:17" s="626" customFormat="1" ht="14.15" customHeight="1" x14ac:dyDescent="0.25">
      <c r="B129" s="945"/>
      <c r="C129" s="583"/>
      <c r="D129" s="1123"/>
      <c r="E129" s="583"/>
      <c r="F129" s="585"/>
      <c r="G129" s="585"/>
      <c r="H129" s="1083"/>
      <c r="I129" s="1076"/>
      <c r="J129" s="1076"/>
      <c r="K129" s="1076"/>
      <c r="L129" s="1076"/>
      <c r="M129" s="1076"/>
      <c r="N129" s="1076"/>
      <c r="O129" s="1076"/>
      <c r="P129" s="1077"/>
      <c r="Q129" s="946">
        <f t="shared" si="21"/>
        <v>0</v>
      </c>
    </row>
    <row r="130" spans="2:17" s="626" customFormat="1" ht="14.15" customHeight="1" x14ac:dyDescent="0.25">
      <c r="B130" s="945"/>
      <c r="C130" s="583"/>
      <c r="D130" s="1123"/>
      <c r="E130" s="583"/>
      <c r="F130" s="585"/>
      <c r="G130" s="585"/>
      <c r="H130" s="1083"/>
      <c r="I130" s="1076"/>
      <c r="J130" s="1076"/>
      <c r="K130" s="1076"/>
      <c r="L130" s="1076"/>
      <c r="M130" s="1076"/>
      <c r="N130" s="1076"/>
      <c r="O130" s="1076"/>
      <c r="P130" s="1077"/>
      <c r="Q130" s="946">
        <f t="shared" si="21"/>
        <v>0</v>
      </c>
    </row>
    <row r="131" spans="2:17" s="626" customFormat="1" ht="14.15" customHeight="1" x14ac:dyDescent="0.25">
      <c r="B131" s="945"/>
      <c r="C131" s="583"/>
      <c r="D131" s="1123"/>
      <c r="E131" s="583"/>
      <c r="F131" s="585"/>
      <c r="G131" s="585"/>
      <c r="H131" s="1083"/>
      <c r="I131" s="1076"/>
      <c r="J131" s="1076"/>
      <c r="K131" s="1076"/>
      <c r="L131" s="1076"/>
      <c r="M131" s="1076"/>
      <c r="N131" s="1076"/>
      <c r="O131" s="1076"/>
      <c r="P131" s="1077"/>
      <c r="Q131" s="946">
        <f t="shared" si="21"/>
        <v>0</v>
      </c>
    </row>
    <row r="132" spans="2:17" s="626" customFormat="1" ht="14.15" customHeight="1" x14ac:dyDescent="0.25">
      <c r="B132" s="945"/>
      <c r="C132" s="583"/>
      <c r="D132" s="1123"/>
      <c r="E132" s="583"/>
      <c r="F132" s="585"/>
      <c r="G132" s="585"/>
      <c r="H132" s="1083"/>
      <c r="I132" s="1076"/>
      <c r="J132" s="1076"/>
      <c r="K132" s="1076"/>
      <c r="L132" s="1076"/>
      <c r="M132" s="1076"/>
      <c r="N132" s="1076"/>
      <c r="O132" s="1076"/>
      <c r="P132" s="1077"/>
      <c r="Q132" s="946">
        <f t="shared" si="21"/>
        <v>0</v>
      </c>
    </row>
    <row r="133" spans="2:17" s="626" customFormat="1" ht="14.15" customHeight="1" x14ac:dyDescent="0.25">
      <c r="B133" s="945"/>
      <c r="C133" s="583"/>
      <c r="D133" s="1123"/>
      <c r="E133" s="583"/>
      <c r="F133" s="585"/>
      <c r="G133" s="585"/>
      <c r="H133" s="1083"/>
      <c r="I133" s="1076"/>
      <c r="J133" s="1076"/>
      <c r="K133" s="1076"/>
      <c r="L133" s="1076"/>
      <c r="M133" s="1076"/>
      <c r="N133" s="1076"/>
      <c r="O133" s="1076"/>
      <c r="P133" s="1077"/>
      <c r="Q133" s="946">
        <f t="shared" si="21"/>
        <v>0</v>
      </c>
    </row>
    <row r="134" spans="2:17" s="626" customFormat="1" ht="14.15" customHeight="1" x14ac:dyDescent="0.25">
      <c r="B134" s="945"/>
      <c r="C134" s="583"/>
      <c r="D134" s="1123"/>
      <c r="E134" s="583"/>
      <c r="F134" s="585"/>
      <c r="G134" s="585"/>
      <c r="H134" s="1083"/>
      <c r="I134" s="1076"/>
      <c r="J134" s="1076"/>
      <c r="K134" s="1076"/>
      <c r="L134" s="1076"/>
      <c r="M134" s="1076"/>
      <c r="N134" s="1076"/>
      <c r="O134" s="1076"/>
      <c r="P134" s="1077"/>
      <c r="Q134" s="946">
        <f t="shared" si="21"/>
        <v>0</v>
      </c>
    </row>
    <row r="135" spans="2:17" s="626" customFormat="1" ht="14.15" customHeight="1" x14ac:dyDescent="0.25">
      <c r="B135" s="945"/>
      <c r="C135" s="583"/>
      <c r="D135" s="1123"/>
      <c r="E135" s="583"/>
      <c r="F135" s="585"/>
      <c r="G135" s="585"/>
      <c r="H135" s="1083"/>
      <c r="I135" s="1076"/>
      <c r="J135" s="1076"/>
      <c r="K135" s="1076"/>
      <c r="L135" s="1076"/>
      <c r="M135" s="1076"/>
      <c r="N135" s="1076"/>
      <c r="O135" s="1076"/>
      <c r="P135" s="1077"/>
      <c r="Q135" s="946">
        <f t="shared" si="21"/>
        <v>0</v>
      </c>
    </row>
    <row r="136" spans="2:17" s="626" customFormat="1" ht="14.15" customHeight="1" x14ac:dyDescent="0.25">
      <c r="B136" s="945"/>
      <c r="C136" s="583"/>
      <c r="D136" s="1123"/>
      <c r="E136" s="583"/>
      <c r="F136" s="585"/>
      <c r="G136" s="585"/>
      <c r="H136" s="1083"/>
      <c r="I136" s="1076"/>
      <c r="J136" s="1076"/>
      <c r="K136" s="1076"/>
      <c r="L136" s="1076"/>
      <c r="M136" s="1076"/>
      <c r="N136" s="1076"/>
      <c r="O136" s="1076"/>
      <c r="P136" s="1077"/>
      <c r="Q136" s="946">
        <f t="shared" si="21"/>
        <v>0</v>
      </c>
    </row>
    <row r="137" spans="2:17" s="626" customFormat="1" ht="14.15" customHeight="1" x14ac:dyDescent="0.25">
      <c r="B137" s="945"/>
      <c r="C137" s="583"/>
      <c r="D137" s="1123"/>
      <c r="E137" s="583"/>
      <c r="F137" s="585"/>
      <c r="G137" s="585"/>
      <c r="H137" s="1083"/>
      <c r="I137" s="1076"/>
      <c r="J137" s="1076"/>
      <c r="K137" s="1076"/>
      <c r="L137" s="1076"/>
      <c r="M137" s="1076"/>
      <c r="N137" s="1076"/>
      <c r="O137" s="1076"/>
      <c r="P137" s="1077"/>
      <c r="Q137" s="946">
        <f t="shared" si="21"/>
        <v>0</v>
      </c>
    </row>
    <row r="138" spans="2:17" s="626" customFormat="1" ht="14.15" customHeight="1" x14ac:dyDescent="0.25">
      <c r="B138" s="945"/>
      <c r="C138" s="583"/>
      <c r="D138" s="1123"/>
      <c r="E138" s="583"/>
      <c r="F138" s="585"/>
      <c r="G138" s="585"/>
      <c r="H138" s="1083"/>
      <c r="I138" s="1076"/>
      <c r="J138" s="1076"/>
      <c r="K138" s="1076"/>
      <c r="L138" s="1076"/>
      <c r="M138" s="1076"/>
      <c r="N138" s="1076"/>
      <c r="O138" s="1076"/>
      <c r="P138" s="1077"/>
      <c r="Q138" s="946">
        <f t="shared" si="21"/>
        <v>0</v>
      </c>
    </row>
    <row r="139" spans="2:17" s="626" customFormat="1" ht="14.15" customHeight="1" x14ac:dyDescent="0.25">
      <c r="B139" s="945"/>
      <c r="C139" s="583"/>
      <c r="D139" s="1123"/>
      <c r="E139" s="583"/>
      <c r="F139" s="585"/>
      <c r="G139" s="585"/>
      <c r="H139" s="1083"/>
      <c r="I139" s="1076"/>
      <c r="J139" s="1076"/>
      <c r="K139" s="1076"/>
      <c r="L139" s="1076"/>
      <c r="M139" s="1076"/>
      <c r="N139" s="1076"/>
      <c r="O139" s="1076"/>
      <c r="P139" s="1077"/>
      <c r="Q139" s="946">
        <f t="shared" si="21"/>
        <v>0</v>
      </c>
    </row>
    <row r="140" spans="2:17" s="626" customFormat="1" ht="14.15" customHeight="1" x14ac:dyDescent="0.25">
      <c r="B140" s="945"/>
      <c r="C140" s="583"/>
      <c r="D140" s="1123"/>
      <c r="E140" s="583"/>
      <c r="F140" s="585"/>
      <c r="G140" s="585"/>
      <c r="H140" s="1083"/>
      <c r="I140" s="1076"/>
      <c r="J140" s="1076"/>
      <c r="K140" s="1076"/>
      <c r="L140" s="1076"/>
      <c r="M140" s="1076"/>
      <c r="N140" s="1076"/>
      <c r="O140" s="1076"/>
      <c r="P140" s="1077"/>
      <c r="Q140" s="946">
        <f t="shared" si="21"/>
        <v>0</v>
      </c>
    </row>
    <row r="141" spans="2:17" s="626" customFormat="1" ht="14.15" customHeight="1" x14ac:dyDescent="0.25">
      <c r="B141" s="945"/>
      <c r="C141" s="583"/>
      <c r="D141" s="1123"/>
      <c r="E141" s="583"/>
      <c r="F141" s="585"/>
      <c r="G141" s="585"/>
      <c r="H141" s="1083"/>
      <c r="I141" s="1076"/>
      <c r="J141" s="1076"/>
      <c r="K141" s="1076"/>
      <c r="L141" s="1076"/>
      <c r="M141" s="1076"/>
      <c r="N141" s="1076"/>
      <c r="O141" s="1076"/>
      <c r="P141" s="1077"/>
      <c r="Q141" s="946">
        <f t="shared" si="21"/>
        <v>0</v>
      </c>
    </row>
    <row r="142" spans="2:17" s="626" customFormat="1" ht="14.15" customHeight="1" x14ac:dyDescent="0.25">
      <c r="B142" s="945"/>
      <c r="C142" s="583"/>
      <c r="D142" s="1123"/>
      <c r="E142" s="583"/>
      <c r="F142" s="585"/>
      <c r="G142" s="585"/>
      <c r="H142" s="1083"/>
      <c r="I142" s="1076"/>
      <c r="J142" s="1076"/>
      <c r="K142" s="1076"/>
      <c r="L142" s="1076"/>
      <c r="M142" s="1076"/>
      <c r="N142" s="1076"/>
      <c r="O142" s="1076"/>
      <c r="P142" s="1077"/>
      <c r="Q142" s="946">
        <f t="shared" si="21"/>
        <v>0</v>
      </c>
    </row>
    <row r="143" spans="2:17" s="626" customFormat="1" ht="14.15" customHeight="1" x14ac:dyDescent="0.25">
      <c r="B143" s="945"/>
      <c r="C143" s="583"/>
      <c r="D143" s="1123"/>
      <c r="E143" s="583"/>
      <c r="F143" s="585"/>
      <c r="G143" s="585"/>
      <c r="H143" s="1083"/>
      <c r="I143" s="1076"/>
      <c r="J143" s="1076"/>
      <c r="K143" s="1076"/>
      <c r="L143" s="1076"/>
      <c r="M143" s="1076"/>
      <c r="N143" s="1076"/>
      <c r="O143" s="1076"/>
      <c r="P143" s="1077"/>
      <c r="Q143" s="946">
        <f t="shared" si="21"/>
        <v>0</v>
      </c>
    </row>
    <row r="144" spans="2:17" s="626" customFormat="1" ht="14.15" customHeight="1" thickBot="1" x14ac:dyDescent="0.3">
      <c r="B144" s="947"/>
      <c r="C144" s="962"/>
      <c r="D144" s="1124"/>
      <c r="E144" s="962"/>
      <c r="F144" s="963"/>
      <c r="G144" s="963"/>
      <c r="H144" s="1084"/>
      <c r="I144" s="1078"/>
      <c r="J144" s="1078"/>
      <c r="K144" s="1078"/>
      <c r="L144" s="1078"/>
      <c r="M144" s="1078"/>
      <c r="N144" s="1078"/>
      <c r="O144" s="1078"/>
      <c r="P144" s="1079"/>
      <c r="Q144" s="956">
        <f t="shared" si="21"/>
        <v>0</v>
      </c>
    </row>
    <row r="145" spans="1:18" s="627" customFormat="1" ht="14.15" customHeight="1" thickBot="1" x14ac:dyDescent="0.3">
      <c r="B145" s="561" t="s">
        <v>287</v>
      </c>
      <c r="C145" s="561"/>
      <c r="D145" s="631">
        <f>SUM(D115:D144)</f>
        <v>0</v>
      </c>
      <c r="E145" s="714" t="s">
        <v>288</v>
      </c>
      <c r="F145" s="986" cm="1">
        <f t="array" ref="F145">IFERROR(    (SUMPRODUCT(ISNUMBER(SEARCH("grondgebonden woningen",E115:E144,1))*D115:D144*F115:F144) + SUMPRODUCT(ISNUMBER(SEARCH("overige",E115:E144,1))*D115:D144*F115:F144))      /    (SUMPRODUCT(ISNUMBER(SEARCH("grondgebonden woningen",E115:E144,1))*D115:D144)+SUMPRODUCT(ISNUMBER(SEARCH("overige",E115:E144,1))*D115:D144)),0)</f>
        <v>0</v>
      </c>
      <c r="G145" s="394" t="str">
        <f>IF(F145&gt;0,IF(F145&gt;Df_Gra,"Let op. Aansluitkosten komen boven de defaultwaarde van € "&amp;TEXT(Df_Gra,"0.00")&amp;" uit. Dit is alleen toegestaan met een goede onderbouwing in het projectplan en met offertes en/of kostenramingen.",""),"")</f>
        <v/>
      </c>
      <c r="H145" s="513"/>
      <c r="I145" s="570"/>
      <c r="J145" s="551"/>
      <c r="K145" s="551"/>
      <c r="L145" s="551"/>
      <c r="M145" s="551"/>
      <c r="N145" s="551"/>
      <c r="O145" s="551"/>
      <c r="R145" s="632"/>
    </row>
    <row r="146" spans="1:18" s="627" customFormat="1" ht="14.15" customHeight="1" x14ac:dyDescent="0.25">
      <c r="B146" s="561"/>
      <c r="C146" s="561"/>
      <c r="D146" s="633"/>
      <c r="E146" s="714" t="s">
        <v>289</v>
      </c>
      <c r="F146" s="635" cm="1">
        <f t="array" ref="F146">IFERROR(SUMPRODUCT(ISNUMBER(SEARCH("gestapelde woningen",E115:E144,1))*D115:D144*F115:F144)/SUMPRODUCT(ISNUMBER(SEARCH("gestapelde woningen",E115:E144,1))*D115:D144),0)</f>
        <v>0</v>
      </c>
      <c r="G146" s="394" t="str">
        <f>IF(F146&gt;0,IF(F146&gt;Df_Gea,"Let op. Aansluitkosten komen boven de defaultwaarde van € "&amp;TEXT(Df_Gea,"0.00")&amp;" uit. Dit is alleen toegestaan met een goede onderbouwing in het projectplan en met offertes en/of kostenramingen.",""),"")</f>
        <v/>
      </c>
      <c r="H146" s="551"/>
      <c r="I146" s="570"/>
      <c r="J146" s="551"/>
      <c r="K146" s="551"/>
      <c r="L146" s="551"/>
      <c r="M146" s="551"/>
      <c r="N146" s="551"/>
      <c r="O146" s="551"/>
      <c r="P146" s="551"/>
      <c r="Q146" s="634"/>
      <c r="R146" s="632"/>
    </row>
    <row r="147" spans="1:18" s="627" customFormat="1" ht="14.15" customHeight="1" thickBot="1" x14ac:dyDescent="0.3">
      <c r="B147" s="561"/>
      <c r="C147" s="561"/>
      <c r="D147" s="633"/>
      <c r="E147" s="714"/>
      <c r="F147" s="714" t="s">
        <v>290</v>
      </c>
      <c r="G147" s="635" cm="1">
        <f t="array" ref="G147">IFERROR(SUMPRODUCT(D115:D144*G115:G144)/D145,0)</f>
        <v>0</v>
      </c>
      <c r="H147" s="394" t="str">
        <f>IF(G147&gt;0,IF(G147&gt;Df_As,"Let op. Afleversets komen boven de defaultwaarde van € "&amp;TEXT(Df_As,"0.00")&amp;" uit. Dit is alleen toegestaan met een goede onderbouwing in het projectplan en met offertes en/of kostenramingen.",""),"")</f>
        <v/>
      </c>
      <c r="I147" s="570"/>
      <c r="J147" s="551"/>
      <c r="K147" s="551"/>
      <c r="L147" s="551"/>
      <c r="M147" s="551"/>
      <c r="N147" s="551"/>
      <c r="O147" s="551"/>
      <c r="P147" s="551"/>
      <c r="Q147" s="634"/>
      <c r="R147" s="632"/>
    </row>
    <row r="148" spans="1:18" s="145" customFormat="1" ht="14.15" customHeight="1" thickBot="1" x14ac:dyDescent="0.3">
      <c r="B148" s="636" t="s">
        <v>291</v>
      </c>
      <c r="C148" s="637"/>
      <c r="D148" s="637"/>
      <c r="E148" s="637"/>
      <c r="F148" s="637"/>
      <c r="G148" s="637"/>
      <c r="H148" s="637"/>
      <c r="I148" s="637"/>
      <c r="J148" s="637"/>
      <c r="K148" s="638"/>
      <c r="L148" s="637"/>
      <c r="M148" s="637"/>
      <c r="N148" s="637"/>
      <c r="O148" s="637"/>
      <c r="P148" s="639"/>
      <c r="Q148" s="600">
        <f>SUM(Q115:Q144)</f>
        <v>0</v>
      </c>
    </row>
    <row r="149" spans="1:18" s="145" customFormat="1" ht="14.15" customHeight="1" x14ac:dyDescent="0.25">
      <c r="B149" s="870" t="s">
        <v>292</v>
      </c>
      <c r="K149" s="640"/>
    </row>
    <row r="150" spans="1:18" s="393" customFormat="1" ht="14" thickBot="1" x14ac:dyDescent="0.3">
      <c r="A150" s="391"/>
      <c r="B150" s="520" t="s">
        <v>171</v>
      </c>
      <c r="C150" s="520"/>
      <c r="D150" s="564"/>
      <c r="E150" s="521"/>
      <c r="F150" s="565"/>
      <c r="G150" s="565"/>
      <c r="H150" s="565"/>
      <c r="I150" s="566"/>
      <c r="J150" s="521"/>
      <c r="K150" s="565"/>
      <c r="L150" s="565"/>
      <c r="M150" s="521"/>
      <c r="N150" s="521"/>
      <c r="O150" s="566"/>
      <c r="P150" s="566"/>
      <c r="Q150" s="566"/>
    </row>
    <row r="151" spans="1:18" s="551" customFormat="1" ht="23" x14ac:dyDescent="0.25">
      <c r="A151" s="552"/>
      <c r="B151" s="958" t="s">
        <v>244</v>
      </c>
      <c r="C151" s="1144" t="s">
        <v>293</v>
      </c>
      <c r="D151" s="1146"/>
      <c r="E151" s="1144" t="s">
        <v>294</v>
      </c>
      <c r="F151" s="1145"/>
      <c r="G151" s="1145"/>
      <c r="H151" s="1145"/>
      <c r="I151" s="1146"/>
      <c r="J151" s="1144"/>
      <c r="K151" s="1145"/>
      <c r="L151" s="1145"/>
      <c r="M151" s="1145"/>
      <c r="N151" s="1145"/>
      <c r="O151" s="1145"/>
      <c r="P151" s="1146"/>
      <c r="Q151" s="990" t="s">
        <v>249</v>
      </c>
    </row>
    <row r="152" spans="1:18" ht="14.15" customHeight="1" x14ac:dyDescent="0.25">
      <c r="B152" s="945"/>
      <c r="C152" s="1151"/>
      <c r="D152" s="1155"/>
      <c r="E152" s="556"/>
      <c r="F152" s="557"/>
      <c r="G152" s="557"/>
      <c r="H152" s="557"/>
      <c r="I152" s="558"/>
      <c r="J152" s="1117"/>
      <c r="K152" s="1118"/>
      <c r="L152" s="1118"/>
      <c r="M152" s="1118"/>
      <c r="N152" s="1118"/>
      <c r="O152" s="1118"/>
      <c r="P152" s="1119"/>
      <c r="Q152" s="991"/>
    </row>
    <row r="153" spans="1:18" ht="14.15" customHeight="1" x14ac:dyDescent="0.25">
      <c r="B153" s="945"/>
      <c r="C153" s="1151"/>
      <c r="D153" s="1152"/>
      <c r="E153" s="556"/>
      <c r="F153" s="557"/>
      <c r="G153" s="557"/>
      <c r="H153" s="557"/>
      <c r="I153" s="558"/>
      <c r="J153" s="1117"/>
      <c r="K153" s="1118"/>
      <c r="L153" s="1118"/>
      <c r="M153" s="1118"/>
      <c r="N153" s="1118"/>
      <c r="O153" s="1118"/>
      <c r="P153" s="1119"/>
      <c r="Q153" s="991"/>
    </row>
    <row r="154" spans="1:18" ht="14.15" customHeight="1" x14ac:dyDescent="0.25">
      <c r="B154" s="945"/>
      <c r="C154" s="1156"/>
      <c r="D154" s="1157"/>
      <c r="E154" s="556"/>
      <c r="F154" s="557"/>
      <c r="G154" s="557"/>
      <c r="H154" s="557"/>
      <c r="I154" s="558"/>
      <c r="J154" s="1117"/>
      <c r="K154" s="1118"/>
      <c r="L154" s="1118"/>
      <c r="M154" s="1118"/>
      <c r="N154" s="1118"/>
      <c r="O154" s="1118"/>
      <c r="P154" s="1119"/>
      <c r="Q154" s="991"/>
    </row>
    <row r="155" spans="1:18" ht="14.15" customHeight="1" x14ac:dyDescent="0.25">
      <c r="B155" s="945"/>
      <c r="C155" s="1156"/>
      <c r="D155" s="1157"/>
      <c r="E155" s="556"/>
      <c r="F155" s="557"/>
      <c r="G155" s="557"/>
      <c r="H155" s="557"/>
      <c r="I155" s="558"/>
      <c r="J155" s="1117"/>
      <c r="K155" s="1118"/>
      <c r="L155" s="1118"/>
      <c r="M155" s="1118"/>
      <c r="N155" s="1118"/>
      <c r="O155" s="1118"/>
      <c r="P155" s="1119"/>
      <c r="Q155" s="991"/>
    </row>
    <row r="156" spans="1:18" ht="14.15" customHeight="1" x14ac:dyDescent="0.25">
      <c r="B156" s="945"/>
      <c r="C156" s="1156"/>
      <c r="D156" s="1157"/>
      <c r="E156" s="556"/>
      <c r="F156" s="557"/>
      <c r="G156" s="557"/>
      <c r="H156" s="557"/>
      <c r="I156" s="558"/>
      <c r="J156" s="1117"/>
      <c r="K156" s="1118"/>
      <c r="L156" s="1118"/>
      <c r="M156" s="1118"/>
      <c r="N156" s="1118"/>
      <c r="O156" s="1118"/>
      <c r="P156" s="1119"/>
      <c r="Q156" s="991"/>
    </row>
    <row r="157" spans="1:18" ht="14.15" customHeight="1" x14ac:dyDescent="0.25">
      <c r="B157" s="945"/>
      <c r="C157" s="865"/>
      <c r="D157" s="866"/>
      <c r="E157" s="556"/>
      <c r="F157" s="557"/>
      <c r="G157" s="557"/>
      <c r="H157" s="557"/>
      <c r="I157" s="558"/>
      <c r="J157" s="1117"/>
      <c r="K157" s="1118"/>
      <c r="L157" s="1118"/>
      <c r="M157" s="1118"/>
      <c r="N157" s="1118"/>
      <c r="O157" s="1118"/>
      <c r="P157" s="1119"/>
      <c r="Q157" s="991"/>
    </row>
    <row r="158" spans="1:18" ht="14.15" customHeight="1" x14ac:dyDescent="0.25">
      <c r="B158" s="945"/>
      <c r="C158" s="865"/>
      <c r="D158" s="866"/>
      <c r="E158" s="556"/>
      <c r="F158" s="557"/>
      <c r="G158" s="557"/>
      <c r="H158" s="557"/>
      <c r="I158" s="558"/>
      <c r="J158" s="1117"/>
      <c r="K158" s="1118"/>
      <c r="L158" s="1118"/>
      <c r="M158" s="1118"/>
      <c r="N158" s="1118"/>
      <c r="O158" s="1118"/>
      <c r="P158" s="1119"/>
      <c r="Q158" s="991"/>
    </row>
    <row r="159" spans="1:18" ht="14.15" customHeight="1" x14ac:dyDescent="0.25">
      <c r="B159" s="945"/>
      <c r="C159" s="865"/>
      <c r="D159" s="866"/>
      <c r="E159" s="556"/>
      <c r="F159" s="557"/>
      <c r="G159" s="557"/>
      <c r="H159" s="557"/>
      <c r="I159" s="558"/>
      <c r="J159" s="1117"/>
      <c r="K159" s="1118"/>
      <c r="L159" s="1118"/>
      <c r="M159" s="1118"/>
      <c r="N159" s="1118"/>
      <c r="O159" s="1118"/>
      <c r="P159" s="1119"/>
      <c r="Q159" s="991"/>
    </row>
    <row r="160" spans="1:18" ht="14.15" customHeight="1" x14ac:dyDescent="0.25">
      <c r="B160" s="945"/>
      <c r="C160" s="865"/>
      <c r="D160" s="866"/>
      <c r="E160" s="556"/>
      <c r="F160" s="557"/>
      <c r="G160" s="557"/>
      <c r="H160" s="557"/>
      <c r="I160" s="558"/>
      <c r="J160" s="1117"/>
      <c r="K160" s="1118"/>
      <c r="L160" s="1118"/>
      <c r="M160" s="1118"/>
      <c r="N160" s="1118"/>
      <c r="O160" s="1118"/>
      <c r="P160" s="1119"/>
      <c r="Q160" s="991"/>
    </row>
    <row r="161" spans="2:18" ht="14.15" customHeight="1" x14ac:dyDescent="0.25">
      <c r="B161" s="945"/>
      <c r="C161" s="865"/>
      <c r="D161" s="866"/>
      <c r="E161" s="556"/>
      <c r="F161" s="557"/>
      <c r="G161" s="557"/>
      <c r="H161" s="557"/>
      <c r="I161" s="558"/>
      <c r="J161" s="1117"/>
      <c r="K161" s="1118"/>
      <c r="L161" s="1118"/>
      <c r="M161" s="1118"/>
      <c r="N161" s="1118"/>
      <c r="O161" s="1118"/>
      <c r="P161" s="1119"/>
      <c r="Q161" s="991"/>
    </row>
    <row r="162" spans="2:18" ht="14.15" customHeight="1" x14ac:dyDescent="0.25">
      <c r="B162" s="945"/>
      <c r="C162" s="865"/>
      <c r="D162" s="866"/>
      <c r="E162" s="556"/>
      <c r="F162" s="557"/>
      <c r="G162" s="557"/>
      <c r="H162" s="557"/>
      <c r="I162" s="558"/>
      <c r="J162" s="1117"/>
      <c r="K162" s="1118"/>
      <c r="L162" s="1118"/>
      <c r="M162" s="1118"/>
      <c r="N162" s="1118"/>
      <c r="O162" s="1118"/>
      <c r="P162" s="1119"/>
      <c r="Q162" s="991"/>
    </row>
    <row r="163" spans="2:18" ht="14.15" customHeight="1" x14ac:dyDescent="0.25">
      <c r="B163" s="945"/>
      <c r="C163" s="1156"/>
      <c r="D163" s="1157"/>
      <c r="E163" s="556"/>
      <c r="F163" s="557"/>
      <c r="G163" s="557"/>
      <c r="H163" s="557"/>
      <c r="I163" s="558"/>
      <c r="J163" s="1117"/>
      <c r="K163" s="1118"/>
      <c r="L163" s="1118"/>
      <c r="M163" s="1118"/>
      <c r="N163" s="1118"/>
      <c r="O163" s="1118"/>
      <c r="P163" s="1119"/>
      <c r="Q163" s="991"/>
    </row>
    <row r="164" spans="2:18" ht="14.15" customHeight="1" x14ac:dyDescent="0.25">
      <c r="B164" s="945"/>
      <c r="C164" s="1156"/>
      <c r="D164" s="1157"/>
      <c r="E164" s="556"/>
      <c r="F164" s="557"/>
      <c r="G164" s="557"/>
      <c r="H164" s="557"/>
      <c r="I164" s="558"/>
      <c r="J164" s="1117"/>
      <c r="K164" s="1118"/>
      <c r="L164" s="1118"/>
      <c r="M164" s="1118"/>
      <c r="N164" s="1118"/>
      <c r="O164" s="1118"/>
      <c r="P164" s="1119"/>
      <c r="Q164" s="991"/>
    </row>
    <row r="165" spans="2:18" ht="14.15" customHeight="1" x14ac:dyDescent="0.25">
      <c r="B165" s="945"/>
      <c r="C165" s="1151"/>
      <c r="D165" s="1152"/>
      <c r="E165" s="556"/>
      <c r="F165" s="557"/>
      <c r="G165" s="557"/>
      <c r="H165" s="557"/>
      <c r="I165" s="558"/>
      <c r="J165" s="1117"/>
      <c r="K165" s="1118"/>
      <c r="L165" s="1118"/>
      <c r="M165" s="1118"/>
      <c r="N165" s="1118"/>
      <c r="O165" s="1118"/>
      <c r="P165" s="1119"/>
      <c r="Q165" s="991"/>
    </row>
    <row r="166" spans="2:18" ht="14.15" customHeight="1" x14ac:dyDescent="0.25">
      <c r="B166" s="945"/>
      <c r="C166" s="1151"/>
      <c r="D166" s="1152"/>
      <c r="E166" s="556"/>
      <c r="F166" s="557"/>
      <c r="G166" s="557"/>
      <c r="H166" s="557"/>
      <c r="I166" s="558"/>
      <c r="J166" s="1117"/>
      <c r="K166" s="1118"/>
      <c r="L166" s="1118"/>
      <c r="M166" s="1118"/>
      <c r="N166" s="1118"/>
      <c r="O166" s="1118"/>
      <c r="P166" s="1119"/>
      <c r="Q166" s="991"/>
    </row>
    <row r="167" spans="2:18" ht="14.15" customHeight="1" x14ac:dyDescent="0.25">
      <c r="B167" s="945"/>
      <c r="C167" s="1151"/>
      <c r="D167" s="1152"/>
      <c r="E167" s="556"/>
      <c r="F167" s="557"/>
      <c r="G167" s="557"/>
      <c r="H167" s="557"/>
      <c r="I167" s="558"/>
      <c r="J167" s="1117"/>
      <c r="K167" s="1118"/>
      <c r="L167" s="1118"/>
      <c r="M167" s="1118"/>
      <c r="N167" s="1118"/>
      <c r="O167" s="1118"/>
      <c r="P167" s="1119"/>
      <c r="Q167" s="991"/>
    </row>
    <row r="168" spans="2:18" ht="14.15" customHeight="1" x14ac:dyDescent="0.25">
      <c r="B168" s="945"/>
      <c r="C168" s="1151"/>
      <c r="D168" s="1152"/>
      <c r="E168" s="556"/>
      <c r="F168" s="557"/>
      <c r="G168" s="557"/>
      <c r="H168" s="557"/>
      <c r="I168" s="558"/>
      <c r="J168" s="1117"/>
      <c r="K168" s="1118"/>
      <c r="L168" s="1118"/>
      <c r="M168" s="1118"/>
      <c r="N168" s="1118"/>
      <c r="O168" s="1118"/>
      <c r="P168" s="1119"/>
      <c r="Q168" s="991"/>
    </row>
    <row r="169" spans="2:18" ht="14.15" customHeight="1" x14ac:dyDescent="0.25">
      <c r="B169" s="945"/>
      <c r="C169" s="1151"/>
      <c r="D169" s="1152"/>
      <c r="E169" s="556"/>
      <c r="F169" s="557"/>
      <c r="G169" s="557"/>
      <c r="H169" s="557"/>
      <c r="I169" s="558"/>
      <c r="J169" s="1117"/>
      <c r="K169" s="1118"/>
      <c r="L169" s="1118"/>
      <c r="M169" s="1118"/>
      <c r="N169" s="1118"/>
      <c r="O169" s="1118"/>
      <c r="P169" s="1119"/>
      <c r="Q169" s="991"/>
    </row>
    <row r="170" spans="2:18" ht="14.15" customHeight="1" x14ac:dyDescent="0.25">
      <c r="B170" s="945"/>
      <c r="C170" s="1151"/>
      <c r="D170" s="1152"/>
      <c r="E170" s="556"/>
      <c r="F170" s="557"/>
      <c r="G170" s="557"/>
      <c r="H170" s="557"/>
      <c r="I170" s="558"/>
      <c r="J170" s="1117"/>
      <c r="K170" s="1118"/>
      <c r="L170" s="1118"/>
      <c r="M170" s="1118"/>
      <c r="N170" s="1118"/>
      <c r="O170" s="1118"/>
      <c r="P170" s="1119"/>
      <c r="Q170" s="991"/>
    </row>
    <row r="171" spans="2:18" ht="14.15" customHeight="1" x14ac:dyDescent="0.25">
      <c r="B171" s="945"/>
      <c r="C171" s="1151"/>
      <c r="D171" s="1152"/>
      <c r="E171" s="556"/>
      <c r="F171" s="557"/>
      <c r="G171" s="557"/>
      <c r="H171" s="557"/>
      <c r="I171" s="558"/>
      <c r="J171" s="1117"/>
      <c r="K171" s="1118"/>
      <c r="L171" s="1118"/>
      <c r="M171" s="1118"/>
      <c r="N171" s="1118"/>
      <c r="O171" s="1118"/>
      <c r="P171" s="1119"/>
      <c r="Q171" s="991"/>
    </row>
    <row r="172" spans="2:18" ht="14.15" customHeight="1" thickBot="1" x14ac:dyDescent="0.3">
      <c r="B172" s="947"/>
      <c r="C172" s="1153"/>
      <c r="D172" s="1154"/>
      <c r="E172" s="953"/>
      <c r="F172" s="954"/>
      <c r="G172" s="954"/>
      <c r="H172" s="954"/>
      <c r="I172" s="955"/>
      <c r="J172" s="1114"/>
      <c r="K172" s="1115"/>
      <c r="L172" s="1115"/>
      <c r="M172" s="1115"/>
      <c r="N172" s="1115"/>
      <c r="O172" s="1115"/>
      <c r="P172" s="1116"/>
      <c r="Q172" s="992"/>
    </row>
    <row r="173" spans="2:18" ht="14.15" customHeight="1" thickBot="1" x14ac:dyDescent="0.3">
      <c r="B173" s="551" t="s">
        <v>295</v>
      </c>
      <c r="I173" s="562"/>
      <c r="K173" s="641"/>
      <c r="L173" s="642"/>
      <c r="Q173" s="989">
        <f>SUM(Q152:Q172)</f>
        <v>0</v>
      </c>
    </row>
    <row r="174" spans="2:18" ht="14.15" customHeight="1" thickBot="1" x14ac:dyDescent="0.3">
      <c r="I174" s="513"/>
      <c r="J174" s="563"/>
    </row>
    <row r="175" spans="2:18" ht="14.15" customHeight="1" x14ac:dyDescent="0.25">
      <c r="B175" s="643" t="s">
        <v>296</v>
      </c>
      <c r="C175" s="595"/>
      <c r="D175" s="595"/>
      <c r="E175" s="643"/>
      <c r="F175" s="595"/>
      <c r="G175" s="595"/>
      <c r="H175" s="595"/>
      <c r="I175" s="595"/>
      <c r="J175" s="595"/>
      <c r="K175" s="595"/>
      <c r="L175" s="595"/>
      <c r="M175" s="595"/>
      <c r="N175" s="595"/>
      <c r="O175" s="595"/>
      <c r="P175" s="599"/>
      <c r="Q175" s="837">
        <f>+Q41+Q65+Q87+Q110+Q148+Q173</f>
        <v>0</v>
      </c>
      <c r="R175" s="515"/>
    </row>
    <row r="176" spans="2:18" ht="14.15" customHeight="1" x14ac:dyDescent="0.25">
      <c r="B176" s="551"/>
      <c r="E176" s="551"/>
      <c r="I176" s="513"/>
      <c r="Q176" s="515"/>
      <c r="R176" s="515"/>
    </row>
    <row r="177" spans="1:25" ht="14.15" customHeight="1" x14ac:dyDescent="0.25">
      <c r="B177" s="551"/>
      <c r="C177" s="551"/>
      <c r="D177" s="551"/>
      <c r="I177" s="644"/>
      <c r="R177" s="515"/>
    </row>
    <row r="178" spans="1:25" s="393" customFormat="1" ht="13.5" x14ac:dyDescent="0.25">
      <c r="A178" s="391"/>
      <c r="B178" s="520" t="s">
        <v>297</v>
      </c>
      <c r="C178" s="520"/>
      <c r="D178" s="564"/>
      <c r="E178" s="521"/>
      <c r="F178" s="614"/>
      <c r="G178" s="614"/>
      <c r="H178" s="614"/>
      <c r="I178" s="645"/>
      <c r="J178" s="645"/>
      <c r="K178" s="645"/>
      <c r="L178" s="645"/>
      <c r="M178" s="645"/>
      <c r="N178" s="645"/>
      <c r="O178" s="645"/>
      <c r="P178" s="645"/>
      <c r="Q178" s="615"/>
      <c r="R178" s="646"/>
    </row>
    <row r="179" spans="1:25" ht="12" thickBot="1" x14ac:dyDescent="0.3">
      <c r="B179" s="647"/>
      <c r="C179" s="648"/>
      <c r="D179" s="648"/>
      <c r="E179" s="648"/>
      <c r="F179" s="649"/>
      <c r="G179" s="649"/>
      <c r="H179" s="649"/>
      <c r="I179" s="650"/>
      <c r="J179" s="651"/>
      <c r="K179" s="652"/>
      <c r="L179" s="652"/>
      <c r="M179" s="652"/>
      <c r="N179" s="652"/>
      <c r="O179" s="652"/>
      <c r="P179" s="652"/>
      <c r="Q179" s="653" t="s">
        <v>184</v>
      </c>
      <c r="R179" s="515"/>
    </row>
    <row r="180" spans="1:25" ht="14.15" customHeight="1" thickBot="1" x14ac:dyDescent="0.3">
      <c r="B180" s="654" t="s">
        <v>184</v>
      </c>
      <c r="C180" s="655"/>
      <c r="D180" s="656" t="s">
        <v>298</v>
      </c>
      <c r="E180" s="656"/>
      <c r="F180" s="656"/>
      <c r="G180" s="656"/>
      <c r="H180" s="656"/>
      <c r="I180" s="656"/>
      <c r="J180" s="656"/>
      <c r="K180" s="656"/>
      <c r="L180" s="656"/>
      <c r="M180" s="656"/>
      <c r="N180" s="656"/>
      <c r="O180" s="656"/>
      <c r="P180" s="657" t="str">
        <f>IFERROR(IF(Q180&lt;0,"Let op: er is geen sprake van een onrendabele top",""),"")</f>
        <v/>
      </c>
      <c r="Q180" s="838">
        <f>-'ORT Berekening'!F231</f>
        <v>0</v>
      </c>
      <c r="R180" s="540"/>
      <c r="S180" s="540"/>
      <c r="T180" s="540"/>
      <c r="U180" s="540"/>
    </row>
    <row r="181" spans="1:25" x14ac:dyDescent="0.25">
      <c r="I181" s="513"/>
      <c r="Q181" s="658"/>
      <c r="R181" s="515"/>
    </row>
    <row r="182" spans="1:25" x14ac:dyDescent="0.25">
      <c r="I182" s="562"/>
      <c r="R182" s="515"/>
    </row>
    <row r="183" spans="1:25" ht="14" thickBot="1" x14ac:dyDescent="0.3">
      <c r="B183" s="520" t="s">
        <v>299</v>
      </c>
      <c r="C183" s="520"/>
      <c r="D183" s="564"/>
      <c r="E183" s="521"/>
      <c r="F183" s="565"/>
      <c r="G183" s="565"/>
      <c r="H183" s="565"/>
      <c r="I183" s="993"/>
      <c r="J183" s="993"/>
      <c r="K183" s="993"/>
      <c r="L183" s="993"/>
      <c r="M183" s="993"/>
      <c r="N183" s="993"/>
      <c r="O183" s="993"/>
      <c r="P183" s="993"/>
      <c r="Q183" s="566"/>
      <c r="R183" s="515"/>
    </row>
    <row r="184" spans="1:25" s="617" customFormat="1" x14ac:dyDescent="0.25">
      <c r="A184" s="616"/>
      <c r="B184" s="994" t="s">
        <v>300</v>
      </c>
      <c r="C184" s="995"/>
      <c r="D184" s="996"/>
      <c r="E184" s="996"/>
      <c r="F184" s="997"/>
      <c r="G184" s="997"/>
      <c r="H184" s="997"/>
      <c r="I184" s="997"/>
      <c r="J184" s="998"/>
      <c r="K184" s="998"/>
      <c r="L184" s="999"/>
      <c r="M184" s="999"/>
      <c r="N184" s="999"/>
      <c r="O184" s="999"/>
      <c r="P184" s="999"/>
      <c r="Q184" s="1000"/>
      <c r="R184" s="641"/>
      <c r="S184" s="642"/>
      <c r="T184" s="642"/>
    </row>
    <row r="185" spans="1:25" ht="14.15" customHeight="1" x14ac:dyDescent="0.25">
      <c r="B185" s="1001"/>
      <c r="C185" s="557"/>
      <c r="D185" s="557"/>
      <c r="E185" s="557"/>
      <c r="F185" s="557"/>
      <c r="G185" s="557"/>
      <c r="H185" s="557"/>
      <c r="I185" s="557"/>
      <c r="J185" s="557"/>
      <c r="K185" s="557"/>
      <c r="L185" s="557"/>
      <c r="M185" s="557"/>
      <c r="N185" s="557"/>
      <c r="O185" s="557"/>
      <c r="P185" s="558"/>
      <c r="Q185" s="991"/>
      <c r="R185" s="640"/>
      <c r="S185" s="145"/>
      <c r="T185" s="145"/>
    </row>
    <row r="186" spans="1:25" ht="14.15" customHeight="1" x14ac:dyDescent="0.25">
      <c r="B186" s="1001"/>
      <c r="C186" s="557"/>
      <c r="D186" s="557"/>
      <c r="E186" s="557"/>
      <c r="F186" s="557"/>
      <c r="G186" s="557"/>
      <c r="H186" s="557"/>
      <c r="I186" s="557"/>
      <c r="J186" s="557"/>
      <c r="K186" s="557"/>
      <c r="L186" s="557"/>
      <c r="M186" s="557"/>
      <c r="N186" s="557"/>
      <c r="O186" s="557"/>
      <c r="P186" s="558"/>
      <c r="Q186" s="991"/>
      <c r="R186" s="640"/>
      <c r="S186" s="145"/>
      <c r="T186" s="145"/>
    </row>
    <row r="187" spans="1:25" ht="14.15" customHeight="1" x14ac:dyDescent="0.25">
      <c r="B187" s="1001"/>
      <c r="C187" s="557"/>
      <c r="D187" s="557"/>
      <c r="E187" s="557"/>
      <c r="F187" s="557"/>
      <c r="G187" s="557"/>
      <c r="H187" s="557"/>
      <c r="I187" s="557"/>
      <c r="J187" s="557"/>
      <c r="K187" s="557"/>
      <c r="L187" s="557"/>
      <c r="M187" s="557"/>
      <c r="N187" s="557"/>
      <c r="O187" s="557"/>
      <c r="P187" s="558"/>
      <c r="Q187" s="991"/>
      <c r="R187" s="640"/>
      <c r="S187" s="145"/>
      <c r="T187" s="145"/>
    </row>
    <row r="188" spans="1:25" ht="14.15" customHeight="1" x14ac:dyDescent="0.25">
      <c r="B188" s="1001"/>
      <c r="C188" s="557"/>
      <c r="D188" s="557"/>
      <c r="E188" s="557"/>
      <c r="F188" s="557"/>
      <c r="G188" s="557"/>
      <c r="H188" s="557"/>
      <c r="I188" s="557"/>
      <c r="J188" s="557"/>
      <c r="K188" s="557"/>
      <c r="L188" s="557"/>
      <c r="M188" s="557"/>
      <c r="N188" s="557"/>
      <c r="O188" s="557"/>
      <c r="P188" s="558"/>
      <c r="Q188" s="991"/>
      <c r="R188" s="640"/>
      <c r="S188" s="145"/>
      <c r="T188" s="145"/>
    </row>
    <row r="189" spans="1:25" ht="14.15" customHeight="1" x14ac:dyDescent="0.25">
      <c r="B189" s="1001"/>
      <c r="C189" s="557"/>
      <c r="D189" s="557"/>
      <c r="E189" s="557"/>
      <c r="F189" s="557"/>
      <c r="G189" s="557"/>
      <c r="H189" s="557"/>
      <c r="I189" s="557"/>
      <c r="J189" s="557"/>
      <c r="K189" s="557"/>
      <c r="L189" s="557"/>
      <c r="M189" s="557"/>
      <c r="N189" s="557"/>
      <c r="O189" s="557"/>
      <c r="P189" s="558"/>
      <c r="Q189" s="991"/>
      <c r="R189" s="640"/>
      <c r="S189" s="145"/>
      <c r="T189" s="145"/>
    </row>
    <row r="190" spans="1:25" ht="14.15" customHeight="1" x14ac:dyDescent="0.25">
      <c r="B190" s="1001"/>
      <c r="C190" s="557"/>
      <c r="D190" s="557"/>
      <c r="E190" s="557"/>
      <c r="F190" s="557"/>
      <c r="G190" s="557"/>
      <c r="H190" s="557"/>
      <c r="I190" s="557"/>
      <c r="J190" s="557"/>
      <c r="K190" s="557"/>
      <c r="L190" s="557"/>
      <c r="M190" s="557"/>
      <c r="N190" s="557"/>
      <c r="O190" s="557"/>
      <c r="P190" s="558"/>
      <c r="Q190" s="991"/>
      <c r="R190" s="640"/>
      <c r="S190" s="145"/>
      <c r="T190" s="145"/>
    </row>
    <row r="191" spans="1:25" ht="14.15" customHeight="1" x14ac:dyDescent="0.25">
      <c r="B191" s="1001"/>
      <c r="C191" s="557"/>
      <c r="D191" s="557"/>
      <c r="E191" s="557"/>
      <c r="F191" s="557"/>
      <c r="G191" s="557"/>
      <c r="H191" s="557"/>
      <c r="I191" s="557"/>
      <c r="J191" s="557"/>
      <c r="K191" s="557"/>
      <c r="L191" s="557"/>
      <c r="M191" s="557"/>
      <c r="N191" s="557"/>
      <c r="O191" s="557"/>
      <c r="P191" s="558"/>
      <c r="Q191" s="991"/>
      <c r="R191" s="640"/>
      <c r="S191" s="145"/>
      <c r="T191" s="145"/>
    </row>
    <row r="192" spans="1:25" ht="14.15" customHeight="1" thickBot="1" x14ac:dyDescent="0.3">
      <c r="B192" s="1002"/>
      <c r="C192" s="954"/>
      <c r="D192" s="954"/>
      <c r="E192" s="954"/>
      <c r="F192" s="954"/>
      <c r="G192" s="954"/>
      <c r="H192" s="954"/>
      <c r="I192" s="954"/>
      <c r="J192" s="954"/>
      <c r="K192" s="954"/>
      <c r="L192" s="954"/>
      <c r="M192" s="954"/>
      <c r="N192" s="954"/>
      <c r="O192" s="954"/>
      <c r="P192" s="955"/>
      <c r="Q192" s="992"/>
      <c r="R192" s="640"/>
      <c r="S192" s="145"/>
      <c r="T192" s="145"/>
      <c r="U192" s="145"/>
      <c r="V192" s="145"/>
      <c r="W192" s="145"/>
      <c r="X192" s="145"/>
      <c r="Y192" s="145"/>
    </row>
    <row r="193" spans="1:22" ht="11.25" customHeight="1" thickBot="1" x14ac:dyDescent="0.3">
      <c r="A193" s="513"/>
      <c r="B193" s="588"/>
      <c r="C193" s="588"/>
      <c r="D193" s="588"/>
      <c r="E193" s="588"/>
      <c r="F193" s="588"/>
      <c r="G193" s="588"/>
      <c r="H193" s="588"/>
      <c r="I193" s="588"/>
      <c r="L193" s="145"/>
      <c r="M193" s="145"/>
      <c r="N193" s="145"/>
      <c r="O193" s="145"/>
      <c r="P193" s="145"/>
      <c r="Q193" s="659"/>
      <c r="R193" s="640"/>
      <c r="S193" s="145"/>
      <c r="T193" s="145"/>
    </row>
    <row r="194" spans="1:22" ht="12" thickBot="1" x14ac:dyDescent="0.3">
      <c r="B194" s="660" t="s">
        <v>301</v>
      </c>
      <c r="C194" s="661"/>
      <c r="D194" s="661"/>
      <c r="E194" s="660"/>
      <c r="F194" s="661"/>
      <c r="G194" s="661"/>
      <c r="H194" s="661"/>
      <c r="I194" s="661"/>
      <c r="Q194" s="662">
        <f>SUM(Q185:Q192)</f>
        <v>0</v>
      </c>
      <c r="R194" s="515"/>
    </row>
    <row r="195" spans="1:22" ht="11.25" customHeight="1" x14ac:dyDescent="0.25">
      <c r="B195" s="540"/>
      <c r="C195" s="540"/>
      <c r="D195" s="540"/>
      <c r="E195" s="540"/>
      <c r="F195" s="540"/>
      <c r="G195" s="540"/>
      <c r="H195" s="540"/>
      <c r="I195" s="562"/>
      <c r="L195" s="145"/>
      <c r="M195" s="145"/>
      <c r="N195" s="145"/>
      <c r="O195" s="145"/>
      <c r="P195" s="145"/>
      <c r="Q195" s="640"/>
      <c r="R195" s="640"/>
      <c r="S195" s="145"/>
      <c r="T195" s="145"/>
    </row>
    <row r="196" spans="1:22" s="393" customFormat="1" ht="13.5" x14ac:dyDescent="0.25">
      <c r="A196" s="391"/>
      <c r="B196" s="520" t="s">
        <v>302</v>
      </c>
      <c r="C196" s="663"/>
      <c r="D196" s="548"/>
      <c r="E196" s="548"/>
      <c r="F196" s="548"/>
      <c r="G196" s="548"/>
      <c r="H196" s="548"/>
      <c r="I196" s="548"/>
      <c r="J196" s="548"/>
      <c r="K196" s="548"/>
      <c r="L196" s="548"/>
      <c r="M196" s="548"/>
      <c r="N196" s="548"/>
      <c r="O196" s="548"/>
      <c r="P196" s="548"/>
      <c r="Q196" s="664"/>
      <c r="R196" s="646"/>
    </row>
    <row r="197" spans="1:22" ht="14.15" customHeight="1" x14ac:dyDescent="0.25">
      <c r="B197" s="145"/>
      <c r="C197" s="145"/>
      <c r="D197" s="145"/>
      <c r="E197" s="145"/>
      <c r="F197" s="145"/>
      <c r="G197" s="145"/>
      <c r="H197" s="145"/>
      <c r="I197" s="145"/>
      <c r="J197" s="145"/>
      <c r="K197" s="145"/>
      <c r="L197" s="145"/>
      <c r="M197" s="145"/>
      <c r="N197" s="145"/>
      <c r="O197" s="145"/>
      <c r="P197" s="145"/>
      <c r="Q197" s="145"/>
      <c r="R197" s="665"/>
    </row>
    <row r="198" spans="1:22" ht="14.15" customHeight="1" x14ac:dyDescent="0.25">
      <c r="B198" s="666" t="s">
        <v>303</v>
      </c>
      <c r="C198" s="649"/>
      <c r="D198" s="667"/>
      <c r="E198" s="667"/>
      <c r="F198" s="667"/>
      <c r="G198" s="667"/>
      <c r="H198" s="667"/>
      <c r="I198" s="667"/>
      <c r="J198" s="667"/>
      <c r="K198" s="667"/>
      <c r="L198" s="667"/>
      <c r="M198" s="667"/>
      <c r="N198" s="667"/>
      <c r="O198" s="667"/>
      <c r="P198" s="667"/>
      <c r="Q198" s="668">
        <f>Q175</f>
        <v>0</v>
      </c>
      <c r="R198" s="540"/>
    </row>
    <row r="199" spans="1:22" ht="14.15" customHeight="1" x14ac:dyDescent="0.25">
      <c r="B199" s="145"/>
      <c r="D199" s="145"/>
      <c r="E199" s="145"/>
      <c r="F199" s="145"/>
      <c r="G199" s="145"/>
      <c r="H199" s="145"/>
      <c r="I199" s="145"/>
      <c r="J199" s="145"/>
      <c r="K199" s="145"/>
      <c r="L199" s="145"/>
      <c r="M199" s="145"/>
      <c r="N199" s="145"/>
      <c r="O199" s="145"/>
      <c r="P199" s="145"/>
      <c r="Q199" s="669"/>
      <c r="R199" s="540"/>
    </row>
    <row r="200" spans="1:22" ht="14.15" customHeight="1" x14ac:dyDescent="0.25">
      <c r="B200" s="666" t="s">
        <v>304</v>
      </c>
      <c r="C200" s="649"/>
      <c r="D200" s="667"/>
      <c r="E200" s="667"/>
      <c r="F200" s="667"/>
      <c r="G200" s="667"/>
      <c r="H200" s="667"/>
      <c r="I200" s="667"/>
      <c r="J200" s="667"/>
      <c r="K200" s="667"/>
      <c r="L200" s="667"/>
      <c r="M200" s="667"/>
      <c r="N200" s="667"/>
      <c r="O200" s="667"/>
      <c r="P200" s="667"/>
      <c r="Q200" s="668">
        <f>+Q180</f>
        <v>0</v>
      </c>
      <c r="R200" s="540"/>
    </row>
    <row r="201" spans="1:22" ht="14.15" customHeight="1" x14ac:dyDescent="0.25">
      <c r="B201" s="642" t="s">
        <v>305</v>
      </c>
      <c r="D201" s="145"/>
      <c r="E201" s="145"/>
      <c r="G201" s="715">
        <f>'ORT uitgangspunten'!G33</f>
        <v>0</v>
      </c>
      <c r="H201" s="642" t="s">
        <v>306</v>
      </c>
      <c r="J201" s="145"/>
      <c r="K201" s="145"/>
      <c r="L201" s="145"/>
      <c r="M201" s="145"/>
      <c r="N201" s="145"/>
      <c r="O201" s="145"/>
      <c r="P201" s="145"/>
      <c r="R201" s="540"/>
    </row>
    <row r="202" spans="1:22" ht="14.15" customHeight="1" x14ac:dyDescent="0.25">
      <c r="B202" s="642" t="s">
        <v>307</v>
      </c>
      <c r="D202" s="840" t="str">
        <f>IF('ORT uitgangspunten'!G35&lt;'ORT uitgangspunten'!G34,"wel","niet")</f>
        <v>wel</v>
      </c>
      <c r="E202" s="642" t="s">
        <v>308</v>
      </c>
      <c r="G202" s="715">
        <f>'ORT uitgangspunten'!G35</f>
        <v>0</v>
      </c>
      <c r="H202" s="642" t="s">
        <v>309</v>
      </c>
      <c r="J202" s="145"/>
      <c r="K202" s="145"/>
      <c r="L202" s="145"/>
      <c r="M202" s="145"/>
      <c r="N202" s="145"/>
      <c r="O202" s="145"/>
      <c r="P202" s="145"/>
      <c r="R202" s="540"/>
    </row>
    <row r="203" spans="1:22" ht="14.15" customHeight="1" x14ac:dyDescent="0.25">
      <c r="B203" s="642"/>
      <c r="D203" s="145"/>
      <c r="E203" s="145"/>
      <c r="G203" s="642"/>
      <c r="I203" s="145"/>
      <c r="J203" s="145"/>
      <c r="K203" s="145"/>
      <c r="L203" s="145"/>
      <c r="M203" s="145"/>
      <c r="N203" s="145"/>
      <c r="O203" s="145"/>
      <c r="P203" s="145"/>
      <c r="R203" s="540"/>
    </row>
    <row r="204" spans="1:22" ht="14.15" customHeight="1" x14ac:dyDescent="0.25">
      <c r="B204" s="673"/>
      <c r="C204" s="671"/>
      <c r="D204" s="672"/>
      <c r="E204" s="672"/>
      <c r="F204" s="671"/>
      <c r="G204" s="723"/>
      <c r="H204" s="673"/>
      <c r="I204" s="672"/>
      <c r="J204" s="672"/>
      <c r="K204" s="672"/>
      <c r="L204" s="672"/>
      <c r="M204" s="672"/>
      <c r="N204" s="672"/>
      <c r="O204" s="672"/>
      <c r="P204" s="672"/>
      <c r="Q204" s="671"/>
      <c r="R204" s="540"/>
    </row>
    <row r="205" spans="1:22" ht="14.15" customHeight="1" x14ac:dyDescent="0.25">
      <c r="B205" s="716" t="s">
        <v>310</v>
      </c>
      <c r="C205" s="145"/>
      <c r="D205" s="145"/>
      <c r="E205" s="145"/>
      <c r="F205" s="145"/>
      <c r="G205" s="145"/>
      <c r="H205" s="145"/>
      <c r="I205" s="145"/>
      <c r="J205" s="145"/>
      <c r="K205" s="145"/>
      <c r="L205" s="145"/>
      <c r="M205" s="145"/>
      <c r="N205" s="145"/>
      <c r="O205" s="145"/>
      <c r="P205" s="145"/>
      <c r="Q205" s="718">
        <f>Q194</f>
        <v>0</v>
      </c>
      <c r="R205" s="512"/>
    </row>
    <row r="206" spans="1:22" ht="14.15" customHeight="1" x14ac:dyDescent="0.25">
      <c r="A206" s="679"/>
      <c r="B206" s="719"/>
      <c r="C206" s="719"/>
      <c r="D206" s="719"/>
      <c r="E206" s="719"/>
      <c r="F206" s="719"/>
      <c r="G206" s="719"/>
      <c r="H206" s="719"/>
      <c r="I206" s="719"/>
      <c r="J206" s="719"/>
      <c r="K206" s="719"/>
      <c r="L206" s="719"/>
      <c r="M206" s="719"/>
      <c r="N206" s="719"/>
      <c r="O206" s="719"/>
      <c r="P206" s="719"/>
      <c r="Q206" s="720"/>
      <c r="R206" s="717"/>
    </row>
    <row r="207" spans="1:22" ht="14.15" customHeight="1" x14ac:dyDescent="0.25">
      <c r="B207" s="666" t="s">
        <v>311</v>
      </c>
      <c r="C207" s="667"/>
      <c r="D207" s="553"/>
      <c r="E207" s="553"/>
      <c r="F207" s="553"/>
      <c r="G207" s="553"/>
      <c r="H207" s="553"/>
      <c r="I207" s="553"/>
      <c r="J207" s="553"/>
      <c r="K207" s="553"/>
      <c r="L207" s="553"/>
      <c r="M207" s="553"/>
      <c r="N207" s="553"/>
      <c r="O207" s="553"/>
      <c r="P207" s="553"/>
      <c r="Q207" s="668">
        <f>+Q200-Q205</f>
        <v>0</v>
      </c>
      <c r="R207" s="540"/>
      <c r="S207" s="676"/>
    </row>
    <row r="208" spans="1:22" ht="14.15" customHeight="1" x14ac:dyDescent="0.25">
      <c r="B208" s="674" t="str">
        <f>"Maximale subsidie op basis van maximaal "&amp;O208*100&amp;"% van de totale investeringen"</f>
        <v>Maximale subsidie op basis van maximaal 45% van de totale investeringen</v>
      </c>
      <c r="C208" s="672"/>
      <c r="D208" s="672"/>
      <c r="E208" s="672"/>
      <c r="F208" s="672"/>
      <c r="G208" s="672"/>
      <c r="H208" s="672"/>
      <c r="I208" s="672"/>
      <c r="J208" s="672"/>
      <c r="K208" s="672"/>
      <c r="L208" s="672"/>
      <c r="M208" s="672"/>
      <c r="N208" s="672"/>
      <c r="O208" s="721">
        <f>max_investperc</f>
        <v>0.45</v>
      </c>
      <c r="P208" s="672"/>
      <c r="Q208" s="722">
        <f>+O208*Q198</f>
        <v>0</v>
      </c>
      <c r="R208" s="509"/>
      <c r="S208" s="678"/>
      <c r="T208" s="509"/>
      <c r="U208" s="509"/>
      <c r="V208" s="509"/>
    </row>
    <row r="209" spans="1:22" ht="14.15" customHeight="1" x14ac:dyDescent="0.25">
      <c r="B209" s="666" t="s">
        <v>312</v>
      </c>
      <c r="C209" s="667"/>
      <c r="D209" s="667"/>
      <c r="E209" s="667"/>
      <c r="F209" s="667"/>
      <c r="G209" s="667"/>
      <c r="H209" s="667"/>
      <c r="I209" s="650"/>
      <c r="J209" s="683" t="s">
        <v>313</v>
      </c>
      <c r="K209" s="683" t="s">
        <v>314</v>
      </c>
      <c r="L209" s="395" cm="1">
        <f t="array" ref="L209">SUMPRODUCT(ISNUMBER(SEARCH("particulier",E115:E144,1))*D115:D144) + SUMPRODUCT(ISNUMBER(SEARCH("overige",E115:E144,1))*D115:D144)</f>
        <v>0</v>
      </c>
      <c r="M209" s="684">
        <f>Cap_part</f>
        <v>7000</v>
      </c>
      <c r="N209" s="685" t="s">
        <v>315</v>
      </c>
      <c r="O209" s="395" cm="1">
        <f t="array" ref="O209">SUMPRODUCT(ISNUMBER(SEARCH("huur",E115:E144,1))*D115:D144)</f>
        <v>0</v>
      </c>
      <c r="P209" s="684">
        <f>Cap_huur</f>
        <v>6000</v>
      </c>
      <c r="Q209" s="677">
        <f>(P209*O209)+(L209*M209)</f>
        <v>0</v>
      </c>
      <c r="R209" s="509"/>
      <c r="S209" s="509"/>
      <c r="T209" s="509"/>
      <c r="U209" s="509"/>
      <c r="V209" s="509"/>
    </row>
    <row r="210" spans="1:22" s="679" customFormat="1" ht="14.15" customHeight="1" x14ac:dyDescent="0.25">
      <c r="B210" s="680"/>
      <c r="C210" s="680"/>
      <c r="D210" s="680"/>
      <c r="E210" s="680"/>
      <c r="F210" s="680"/>
      <c r="G210" s="680"/>
      <c r="H210" s="680"/>
      <c r="I210" s="686"/>
      <c r="J210" s="687"/>
      <c r="K210" s="687"/>
      <c r="L210" s="688"/>
      <c r="M210" s="689"/>
      <c r="N210" s="690"/>
      <c r="O210" s="688"/>
      <c r="P210" s="689"/>
      <c r="Q210" s="681"/>
      <c r="R210" s="682"/>
      <c r="S210" s="682"/>
      <c r="T210" s="682"/>
      <c r="U210" s="682"/>
      <c r="V210" s="682"/>
    </row>
    <row r="211" spans="1:22" ht="14.15" customHeight="1" x14ac:dyDescent="0.25">
      <c r="B211" s="691" t="s">
        <v>316</v>
      </c>
      <c r="C211" s="670"/>
      <c r="D211" s="670"/>
      <c r="E211" s="670"/>
      <c r="F211" s="670"/>
      <c r="G211" s="670"/>
      <c r="H211" s="670"/>
      <c r="I211" s="670"/>
      <c r="J211" s="670"/>
      <c r="K211" s="670"/>
      <c r="L211" s="670"/>
      <c r="M211" s="670"/>
      <c r="N211" s="670"/>
      <c r="O211" s="670"/>
      <c r="P211" s="692" t="str">
        <f>IFERROR(IF(Q180&lt;0,"Let op: er is geen sprake van een onrendabele top",""),"")</f>
        <v/>
      </c>
      <c r="Q211" s="668">
        <f>MAX(MIN(Q207:Q209),0)</f>
        <v>0</v>
      </c>
      <c r="R211" s="143"/>
      <c r="S211" s="464"/>
      <c r="T211" s="464"/>
      <c r="U211" s="509"/>
      <c r="V211" s="509"/>
    </row>
    <row r="212" spans="1:22" ht="14.15" customHeight="1" x14ac:dyDescent="0.25">
      <c r="A212" s="513"/>
      <c r="B212" s="693" t="s">
        <v>317</v>
      </c>
      <c r="C212" s="675"/>
      <c r="D212" s="675"/>
      <c r="E212" s="675"/>
      <c r="F212" s="675"/>
      <c r="G212" s="675"/>
      <c r="H212" s="675"/>
      <c r="I212" s="675"/>
      <c r="J212" s="675"/>
      <c r="K212" s="675"/>
      <c r="L212" s="675"/>
      <c r="M212" s="675"/>
      <c r="N212" s="675"/>
      <c r="O212" s="675"/>
      <c r="P212" s="694" t="str">
        <f>IF(ISERROR(Q180),"",IF(Q180&lt;0,"Let op: er is geen sprake van een onrendabele top",IF(Q212&lt;1,"Let op: Vergeet niet de door u gevraagde subsidie in te vullen! → ",IF(Q212&gt;Q211,"LET OP: U vraagt meer dan de maximale subsidie aan! ",IF(Q212&lt;Q211,"LET OP: u vraagt minder aan dan de maximale steun","")))))</f>
        <v xml:space="preserve">Let op: Vergeet niet de door u gevraagde subsidie in te vullen! → </v>
      </c>
      <c r="Q212" s="1086"/>
      <c r="R212" s="464"/>
      <c r="S212" s="464"/>
      <c r="T212" s="464"/>
    </row>
    <row r="213" spans="1:22" ht="14.15" customHeight="1" x14ac:dyDescent="0.25">
      <c r="C213" s="28"/>
      <c r="D213" s="28"/>
      <c r="E213" s="28"/>
      <c r="F213" s="28"/>
      <c r="G213" s="28"/>
      <c r="H213" s="28"/>
      <c r="I213" s="28"/>
      <c r="Q213" s="593"/>
      <c r="R213" s="464"/>
      <c r="S213" s="464"/>
      <c r="T213" s="464"/>
    </row>
    <row r="214" spans="1:22" s="393" customFormat="1" ht="13.5" x14ac:dyDescent="0.25">
      <c r="A214" s="391"/>
      <c r="B214" s="520" t="s">
        <v>318</v>
      </c>
      <c r="C214" s="663"/>
      <c r="D214" s="548"/>
      <c r="E214" s="663"/>
      <c r="F214" s="663"/>
      <c r="G214" s="663"/>
      <c r="H214" s="663"/>
      <c r="I214" s="663"/>
      <c r="J214" s="663"/>
      <c r="K214" s="663"/>
      <c r="L214" s="663"/>
      <c r="M214" s="663"/>
      <c r="N214" s="663"/>
      <c r="O214" s="663"/>
      <c r="P214" s="663"/>
      <c r="Q214" s="695"/>
      <c r="R214" s="646"/>
      <c r="S214" s="646"/>
      <c r="T214" s="646"/>
    </row>
    <row r="215" spans="1:22" ht="14.15" customHeight="1" x14ac:dyDescent="0.25">
      <c r="B215" s="696"/>
      <c r="C215" s="697"/>
      <c r="D215" s="696"/>
      <c r="E215" s="697"/>
      <c r="F215" s="697"/>
      <c r="G215" s="697"/>
      <c r="H215" s="697"/>
      <c r="I215" s="697"/>
      <c r="J215" s="697"/>
      <c r="K215" s="697"/>
      <c r="L215" s="697"/>
      <c r="M215" s="697"/>
      <c r="N215" s="697"/>
      <c r="O215" s="697"/>
      <c r="P215" s="697"/>
      <c r="Q215" s="698"/>
      <c r="R215" s="515"/>
    </row>
    <row r="216" spans="1:22" ht="14.15" customHeight="1" x14ac:dyDescent="0.25">
      <c r="B216" s="699" t="s">
        <v>319</v>
      </c>
      <c r="C216" s="649"/>
      <c r="D216" s="530"/>
      <c r="E216" s="530"/>
      <c r="F216" s="530"/>
      <c r="G216" s="530"/>
      <c r="H216" s="530"/>
      <c r="I216" s="530"/>
      <c r="J216" s="530"/>
      <c r="K216" s="530"/>
      <c r="L216" s="530"/>
      <c r="M216" s="530"/>
      <c r="N216" s="530"/>
      <c r="O216" s="530"/>
      <c r="P216" s="530"/>
      <c r="Q216" s="872">
        <f>Q198</f>
        <v>0</v>
      </c>
      <c r="R216" s="515"/>
    </row>
    <row r="217" spans="1:22" ht="14.15" customHeight="1" x14ac:dyDescent="0.25">
      <c r="B217" s="666" t="s">
        <v>320</v>
      </c>
      <c r="C217" s="649"/>
      <c r="D217" s="530"/>
      <c r="E217" s="530"/>
      <c r="F217" s="530"/>
      <c r="G217" s="530"/>
      <c r="H217" s="530"/>
      <c r="I217" s="530"/>
      <c r="J217" s="530"/>
      <c r="K217" s="530"/>
      <c r="L217" s="530"/>
      <c r="M217" s="530"/>
      <c r="N217" s="530"/>
      <c r="O217" s="530"/>
      <c r="P217" s="530"/>
      <c r="Q217" s="872">
        <f>+Q205</f>
        <v>0</v>
      </c>
      <c r="R217" s="515"/>
    </row>
    <row r="218" spans="1:22" ht="14.15" customHeight="1" x14ac:dyDescent="0.25">
      <c r="B218" s="699" t="s">
        <v>321</v>
      </c>
      <c r="C218" s="671"/>
      <c r="D218" s="526"/>
      <c r="E218" s="526"/>
      <c r="F218" s="526"/>
      <c r="G218" s="526"/>
      <c r="H218" s="526"/>
      <c r="I218" s="526"/>
      <c r="J218" s="526"/>
      <c r="K218" s="526"/>
      <c r="L218" s="526"/>
      <c r="M218" s="526"/>
      <c r="N218" s="526"/>
      <c r="O218" s="526"/>
      <c r="P218" s="526"/>
      <c r="Q218" s="872">
        <f>+Q211</f>
        <v>0</v>
      </c>
      <c r="R218" s="515"/>
    </row>
    <row r="219" spans="1:22" ht="14.15" customHeight="1" x14ac:dyDescent="0.25">
      <c r="B219" s="700" t="s">
        <v>322</v>
      </c>
      <c r="C219" s="671"/>
      <c r="D219" s="526"/>
      <c r="E219" s="526"/>
      <c r="F219" s="526"/>
      <c r="G219" s="526"/>
      <c r="H219" s="526"/>
      <c r="I219" s="526"/>
      <c r="J219" s="526"/>
      <c r="K219" s="526"/>
      <c r="L219" s="526"/>
      <c r="M219" s="526"/>
      <c r="N219" s="526"/>
      <c r="O219" s="526"/>
      <c r="P219" s="526"/>
      <c r="Q219" s="872">
        <f>(O209+L209)*G201</f>
        <v>0</v>
      </c>
      <c r="R219" s="841"/>
    </row>
    <row r="220" spans="1:22" ht="14.15" customHeight="1" x14ac:dyDescent="0.25">
      <c r="B220" s="701" t="s">
        <v>323</v>
      </c>
      <c r="C220" s="702"/>
      <c r="D220" s="702"/>
      <c r="E220" s="702"/>
      <c r="F220" s="703"/>
      <c r="G220" s="703"/>
      <c r="H220" s="703"/>
      <c r="I220" s="703"/>
      <c r="J220" s="703"/>
      <c r="K220" s="703"/>
      <c r="L220" s="703"/>
      <c r="M220" s="703"/>
      <c r="N220" s="703"/>
      <c r="O220" s="703"/>
      <c r="P220" s="703" t="s">
        <v>324</v>
      </c>
      <c r="Q220" s="872">
        <f>+Q216-Q217-Q218-Q219</f>
        <v>0</v>
      </c>
      <c r="R220" s="841"/>
    </row>
    <row r="221" spans="1:22" ht="14.15" customHeight="1" x14ac:dyDescent="0.25">
      <c r="B221" s="551"/>
      <c r="C221" s="551"/>
      <c r="D221" s="551"/>
      <c r="I221" s="704"/>
    </row>
    <row r="222" spans="1:22" s="393" customFormat="1" ht="13.5" x14ac:dyDescent="0.25">
      <c r="A222" s="391"/>
      <c r="B222" s="520" t="s">
        <v>325</v>
      </c>
      <c r="C222" s="548"/>
      <c r="D222" s="548"/>
      <c r="E222" s="548"/>
      <c r="F222" s="548"/>
      <c r="G222" s="548"/>
      <c r="H222" s="548"/>
      <c r="I222" s="548"/>
      <c r="J222" s="548"/>
      <c r="K222" s="548"/>
      <c r="L222" s="548"/>
      <c r="M222" s="548"/>
      <c r="N222" s="548"/>
      <c r="O222" s="548"/>
      <c r="P222" s="548"/>
      <c r="Q222" s="548"/>
    </row>
    <row r="223" spans="1:22" x14ac:dyDescent="0.25">
      <c r="B223" s="705"/>
      <c r="C223" s="706"/>
      <c r="D223" s="706"/>
      <c r="E223" s="706"/>
      <c r="F223" s="706"/>
      <c r="G223" s="706"/>
      <c r="H223" s="706"/>
      <c r="I223" s="706"/>
      <c r="J223" s="706"/>
      <c r="K223" s="706"/>
      <c r="L223" s="706"/>
      <c r="M223" s="706"/>
      <c r="N223" s="706"/>
      <c r="O223" s="706"/>
      <c r="P223" s="706"/>
      <c r="Q223" s="707"/>
    </row>
    <row r="224" spans="1:22" ht="14.25" customHeight="1" x14ac:dyDescent="0.25">
      <c r="B224" s="708"/>
      <c r="C224" s="709"/>
      <c r="D224" s="709"/>
      <c r="E224" s="709"/>
      <c r="F224" s="709"/>
      <c r="G224" s="709"/>
      <c r="H224" s="709"/>
      <c r="I224" s="709"/>
      <c r="J224" s="709"/>
      <c r="K224" s="709"/>
      <c r="L224" s="709"/>
      <c r="M224" s="709"/>
      <c r="N224" s="709"/>
      <c r="O224" s="709"/>
      <c r="P224" s="709"/>
      <c r="Q224" s="710"/>
    </row>
    <row r="225" spans="2:17" ht="14.25" customHeight="1" x14ac:dyDescent="0.25">
      <c r="B225" s="708"/>
      <c r="C225" s="709"/>
      <c r="D225" s="709"/>
      <c r="E225" s="709"/>
      <c r="F225" s="709"/>
      <c r="G225" s="709"/>
      <c r="H225" s="709"/>
      <c r="I225" s="709"/>
      <c r="J225" s="709"/>
      <c r="K225" s="709"/>
      <c r="L225" s="709"/>
      <c r="M225" s="709"/>
      <c r="N225" s="709"/>
      <c r="O225" s="709"/>
      <c r="P225" s="709"/>
      <c r="Q225" s="710"/>
    </row>
    <row r="226" spans="2:17" ht="14.25" customHeight="1" x14ac:dyDescent="0.25">
      <c r="B226" s="708"/>
      <c r="C226" s="709"/>
      <c r="D226" s="709"/>
      <c r="E226" s="709"/>
      <c r="F226" s="709"/>
      <c r="G226" s="709"/>
      <c r="H226" s="709"/>
      <c r="I226" s="709"/>
      <c r="J226" s="709"/>
      <c r="K226" s="709"/>
      <c r="L226" s="709"/>
      <c r="M226" s="709"/>
      <c r="N226" s="709"/>
      <c r="O226" s="709"/>
      <c r="P226" s="709"/>
      <c r="Q226" s="710"/>
    </row>
    <row r="227" spans="2:17" x14ac:dyDescent="0.25">
      <c r="B227" s="708"/>
      <c r="C227" s="709"/>
      <c r="D227" s="709"/>
      <c r="E227" s="709"/>
      <c r="F227" s="709"/>
      <c r="G227" s="709"/>
      <c r="H227" s="709"/>
      <c r="I227" s="709"/>
      <c r="J227" s="709"/>
      <c r="K227" s="709"/>
      <c r="L227" s="709"/>
      <c r="M227" s="709"/>
      <c r="N227" s="709"/>
      <c r="O227" s="709"/>
      <c r="P227" s="709"/>
      <c r="Q227" s="710"/>
    </row>
    <row r="228" spans="2:17" x14ac:dyDescent="0.25">
      <c r="B228" s="708"/>
      <c r="C228" s="709"/>
      <c r="D228" s="709"/>
      <c r="E228" s="709"/>
      <c r="F228" s="709"/>
      <c r="G228" s="709"/>
      <c r="H228" s="709"/>
      <c r="I228" s="709"/>
      <c r="J228" s="709"/>
      <c r="K228" s="709"/>
      <c r="L228" s="709"/>
      <c r="M228" s="709"/>
      <c r="N228" s="709"/>
      <c r="O228" s="709"/>
      <c r="P228" s="709"/>
      <c r="Q228" s="710"/>
    </row>
    <row r="229" spans="2:17" ht="14.25" customHeight="1" x14ac:dyDescent="0.25">
      <c r="B229" s="708"/>
      <c r="C229" s="709"/>
      <c r="D229" s="709"/>
      <c r="E229" s="709"/>
      <c r="F229" s="709"/>
      <c r="G229" s="709"/>
      <c r="H229" s="709"/>
      <c r="I229" s="709"/>
      <c r="J229" s="709"/>
      <c r="K229" s="709"/>
      <c r="L229" s="709"/>
      <c r="M229" s="709"/>
      <c r="N229" s="709"/>
      <c r="O229" s="709"/>
      <c r="P229" s="709"/>
      <c r="Q229" s="710"/>
    </row>
    <row r="230" spans="2:17" ht="14.25" customHeight="1" x14ac:dyDescent="0.25">
      <c r="B230" s="708"/>
      <c r="C230" s="709"/>
      <c r="D230" s="709"/>
      <c r="E230" s="709"/>
      <c r="F230" s="709"/>
      <c r="G230" s="709"/>
      <c r="H230" s="709"/>
      <c r="I230" s="709"/>
      <c r="J230" s="709"/>
      <c r="K230" s="709"/>
      <c r="L230" s="709"/>
      <c r="M230" s="709"/>
      <c r="N230" s="709"/>
      <c r="O230" s="709"/>
      <c r="P230" s="709"/>
      <c r="Q230" s="710"/>
    </row>
    <row r="231" spans="2:17" ht="14.25" customHeight="1" x14ac:dyDescent="0.25">
      <c r="B231" s="708"/>
      <c r="C231" s="709"/>
      <c r="D231" s="709"/>
      <c r="E231" s="709"/>
      <c r="F231" s="709"/>
      <c r="G231" s="709"/>
      <c r="H231" s="709"/>
      <c r="I231" s="709"/>
      <c r="J231" s="709"/>
      <c r="K231" s="709"/>
      <c r="L231" s="709"/>
      <c r="M231" s="709"/>
      <c r="N231" s="709"/>
      <c r="O231" s="709"/>
      <c r="P231" s="709"/>
      <c r="Q231" s="710"/>
    </row>
    <row r="232" spans="2:17" x14ac:dyDescent="0.25">
      <c r="B232" s="708"/>
      <c r="C232" s="709"/>
      <c r="D232" s="709"/>
      <c r="E232" s="709"/>
      <c r="F232" s="709"/>
      <c r="G232" s="709"/>
      <c r="H232" s="709"/>
      <c r="I232" s="709"/>
      <c r="J232" s="709"/>
      <c r="K232" s="709"/>
      <c r="L232" s="709"/>
      <c r="M232" s="709"/>
      <c r="N232" s="709"/>
      <c r="O232" s="709"/>
      <c r="P232" s="709"/>
      <c r="Q232" s="710"/>
    </row>
    <row r="233" spans="2:17" x14ac:dyDescent="0.25">
      <c r="B233" s="708"/>
      <c r="C233" s="709"/>
      <c r="D233" s="709"/>
      <c r="E233" s="709"/>
      <c r="F233" s="709"/>
      <c r="G233" s="709"/>
      <c r="H233" s="709"/>
      <c r="I233" s="709"/>
      <c r="J233" s="709"/>
      <c r="K233" s="709"/>
      <c r="L233" s="709"/>
      <c r="M233" s="709"/>
      <c r="N233" s="709"/>
      <c r="O233" s="709"/>
      <c r="P233" s="709"/>
      <c r="Q233" s="710"/>
    </row>
    <row r="234" spans="2:17" ht="14.25" customHeight="1" x14ac:dyDescent="0.25">
      <c r="B234" s="708"/>
      <c r="C234" s="709"/>
      <c r="D234" s="709"/>
      <c r="E234" s="709"/>
      <c r="F234" s="709"/>
      <c r="G234" s="709"/>
      <c r="H234" s="709"/>
      <c r="I234" s="709"/>
      <c r="J234" s="709"/>
      <c r="K234" s="709"/>
      <c r="L234" s="709"/>
      <c r="M234" s="709"/>
      <c r="N234" s="709"/>
      <c r="O234" s="709"/>
      <c r="P234" s="709"/>
      <c r="Q234" s="710"/>
    </row>
    <row r="235" spans="2:17" ht="14.25" customHeight="1" x14ac:dyDescent="0.25">
      <c r="B235" s="708"/>
      <c r="C235" s="709"/>
      <c r="D235" s="709"/>
      <c r="E235" s="709"/>
      <c r="F235" s="709"/>
      <c r="G235" s="709"/>
      <c r="H235" s="709"/>
      <c r="I235" s="709"/>
      <c r="J235" s="709"/>
      <c r="K235" s="709"/>
      <c r="L235" s="709"/>
      <c r="M235" s="709"/>
      <c r="N235" s="709"/>
      <c r="O235" s="709"/>
      <c r="P235" s="709"/>
      <c r="Q235" s="710"/>
    </row>
    <row r="236" spans="2:17" ht="14.25" customHeight="1" x14ac:dyDescent="0.25">
      <c r="B236" s="708"/>
      <c r="C236" s="709"/>
      <c r="D236" s="709"/>
      <c r="E236" s="709"/>
      <c r="F236" s="709"/>
      <c r="G236" s="709"/>
      <c r="H236" s="709"/>
      <c r="I236" s="709"/>
      <c r="J236" s="709"/>
      <c r="K236" s="709"/>
      <c r="L236" s="709"/>
      <c r="M236" s="709"/>
      <c r="N236" s="709"/>
      <c r="O236" s="709"/>
      <c r="P236" s="709"/>
      <c r="Q236" s="710"/>
    </row>
    <row r="237" spans="2:17" x14ac:dyDescent="0.25">
      <c r="B237" s="708"/>
      <c r="C237" s="709"/>
      <c r="D237" s="709"/>
      <c r="E237" s="709"/>
      <c r="F237" s="709"/>
      <c r="G237" s="709"/>
      <c r="H237" s="709"/>
      <c r="I237" s="709"/>
      <c r="J237" s="709"/>
      <c r="K237" s="709"/>
      <c r="L237" s="709"/>
      <c r="M237" s="709"/>
      <c r="N237" s="709"/>
      <c r="O237" s="709"/>
      <c r="P237" s="709"/>
      <c r="Q237" s="710"/>
    </row>
    <row r="238" spans="2:17" x14ac:dyDescent="0.25">
      <c r="B238" s="708"/>
      <c r="C238" s="709"/>
      <c r="D238" s="709"/>
      <c r="E238" s="709"/>
      <c r="F238" s="709"/>
      <c r="G238" s="709"/>
      <c r="H238" s="709"/>
      <c r="I238" s="709"/>
      <c r="J238" s="709"/>
      <c r="K238" s="709"/>
      <c r="L238" s="709"/>
      <c r="M238" s="709"/>
      <c r="N238" s="709"/>
      <c r="O238" s="709"/>
      <c r="P238" s="709"/>
      <c r="Q238" s="710"/>
    </row>
    <row r="239" spans="2:17" ht="14.25" customHeight="1" x14ac:dyDescent="0.25">
      <c r="B239" s="708"/>
      <c r="C239" s="709"/>
      <c r="D239" s="709"/>
      <c r="E239" s="709"/>
      <c r="F239" s="709"/>
      <c r="G239" s="709"/>
      <c r="H239" s="709"/>
      <c r="I239" s="709"/>
      <c r="J239" s="709"/>
      <c r="K239" s="709"/>
      <c r="L239" s="709"/>
      <c r="M239" s="709"/>
      <c r="N239" s="709"/>
      <c r="O239" s="709"/>
      <c r="P239" s="709"/>
      <c r="Q239" s="710"/>
    </row>
    <row r="240" spans="2:17" ht="14.25" customHeight="1" x14ac:dyDescent="0.25">
      <c r="B240" s="708"/>
      <c r="C240" s="709"/>
      <c r="D240" s="709"/>
      <c r="E240" s="709"/>
      <c r="F240" s="709"/>
      <c r="G240" s="709"/>
      <c r="H240" s="709"/>
      <c r="I240" s="709"/>
      <c r="J240" s="709"/>
      <c r="K240" s="709"/>
      <c r="L240" s="709"/>
      <c r="M240" s="709"/>
      <c r="N240" s="709"/>
      <c r="O240" s="709"/>
      <c r="P240" s="709"/>
      <c r="Q240" s="710"/>
    </row>
    <row r="241" spans="2:17" ht="14.25" customHeight="1" x14ac:dyDescent="0.25">
      <c r="B241" s="708"/>
      <c r="C241" s="709"/>
      <c r="D241" s="709"/>
      <c r="E241" s="709"/>
      <c r="F241" s="709"/>
      <c r="G241" s="709"/>
      <c r="H241" s="709"/>
      <c r="I241" s="709"/>
      <c r="J241" s="709"/>
      <c r="K241" s="709"/>
      <c r="L241" s="709"/>
      <c r="M241" s="709"/>
      <c r="N241" s="709"/>
      <c r="O241" s="709"/>
      <c r="P241" s="709"/>
      <c r="Q241" s="710"/>
    </row>
    <row r="242" spans="2:17" x14ac:dyDescent="0.25">
      <c r="B242" s="708"/>
      <c r="C242" s="709"/>
      <c r="D242" s="709"/>
      <c r="E242" s="709"/>
      <c r="F242" s="709"/>
      <c r="G242" s="709"/>
      <c r="H242" s="709"/>
      <c r="I242" s="709"/>
      <c r="J242" s="709"/>
      <c r="K242" s="709"/>
      <c r="L242" s="709"/>
      <c r="M242" s="709"/>
      <c r="N242" s="709"/>
      <c r="O242" s="709"/>
      <c r="P242" s="709"/>
      <c r="Q242" s="710"/>
    </row>
    <row r="243" spans="2:17" x14ac:dyDescent="0.25">
      <c r="B243" s="708"/>
      <c r="C243" s="709"/>
      <c r="D243" s="709"/>
      <c r="E243" s="709"/>
      <c r="F243" s="709"/>
      <c r="G243" s="709"/>
      <c r="H243" s="709"/>
      <c r="I243" s="709"/>
      <c r="J243" s="709"/>
      <c r="K243" s="709"/>
      <c r="L243" s="709"/>
      <c r="M243" s="709"/>
      <c r="N243" s="709"/>
      <c r="O243" s="709"/>
      <c r="P243" s="709"/>
      <c r="Q243" s="710"/>
    </row>
    <row r="244" spans="2:17" ht="14.25" customHeight="1" x14ac:dyDescent="0.25">
      <c r="B244" s="708"/>
      <c r="C244" s="709"/>
      <c r="D244" s="709"/>
      <c r="E244" s="709"/>
      <c r="F244" s="709"/>
      <c r="G244" s="709"/>
      <c r="H244" s="709"/>
      <c r="I244" s="709"/>
      <c r="J244" s="709"/>
      <c r="K244" s="709"/>
      <c r="L244" s="709"/>
      <c r="M244" s="709"/>
      <c r="N244" s="709"/>
      <c r="O244" s="709"/>
      <c r="P244" s="709"/>
      <c r="Q244" s="710"/>
    </row>
    <row r="245" spans="2:17" ht="14.25" customHeight="1" x14ac:dyDescent="0.25">
      <c r="B245" s="708"/>
      <c r="C245" s="709"/>
      <c r="D245" s="709"/>
      <c r="E245" s="709"/>
      <c r="F245" s="709"/>
      <c r="G245" s="709"/>
      <c r="H245" s="709"/>
      <c r="I245" s="709"/>
      <c r="J245" s="709"/>
      <c r="K245" s="709"/>
      <c r="L245" s="709"/>
      <c r="M245" s="709"/>
      <c r="N245" s="709"/>
      <c r="O245" s="709"/>
      <c r="P245" s="709"/>
      <c r="Q245" s="710"/>
    </row>
    <row r="246" spans="2:17" ht="14.25" customHeight="1" x14ac:dyDescent="0.25">
      <c r="B246" s="708"/>
      <c r="C246" s="709"/>
      <c r="D246" s="709"/>
      <c r="E246" s="709"/>
      <c r="F246" s="709"/>
      <c r="G246" s="709"/>
      <c r="H246" s="709"/>
      <c r="I246" s="709"/>
      <c r="J246" s="709"/>
      <c r="K246" s="709"/>
      <c r="L246" s="709"/>
      <c r="M246" s="709"/>
      <c r="N246" s="709"/>
      <c r="O246" s="709"/>
      <c r="P246" s="709"/>
      <c r="Q246" s="710"/>
    </row>
    <row r="247" spans="2:17" x14ac:dyDescent="0.25">
      <c r="B247" s="708"/>
      <c r="C247" s="709"/>
      <c r="D247" s="709"/>
      <c r="E247" s="709"/>
      <c r="F247" s="709"/>
      <c r="G247" s="709"/>
      <c r="H247" s="709"/>
      <c r="I247" s="709"/>
      <c r="J247" s="709"/>
      <c r="K247" s="709"/>
      <c r="L247" s="709"/>
      <c r="M247" s="709"/>
      <c r="N247" s="709"/>
      <c r="O247" s="709"/>
      <c r="P247" s="709"/>
      <c r="Q247" s="710"/>
    </row>
    <row r="248" spans="2:17" x14ac:dyDescent="0.25">
      <c r="B248" s="708"/>
      <c r="C248" s="709"/>
      <c r="D248" s="709"/>
      <c r="E248" s="709"/>
      <c r="F248" s="709"/>
      <c r="G248" s="709"/>
      <c r="H248" s="709"/>
      <c r="I248" s="709"/>
      <c r="J248" s="709"/>
      <c r="K248" s="709"/>
      <c r="L248" s="709"/>
      <c r="M248" s="709"/>
      <c r="N248" s="709"/>
      <c r="O248" s="709"/>
      <c r="P248" s="709"/>
      <c r="Q248" s="710"/>
    </row>
    <row r="249" spans="2:17" ht="14.25" customHeight="1" x14ac:dyDescent="0.25">
      <c r="B249" s="708"/>
      <c r="C249" s="709"/>
      <c r="D249" s="709"/>
      <c r="E249" s="709"/>
      <c r="F249" s="709"/>
      <c r="G249" s="709"/>
      <c r="H249" s="709"/>
      <c r="I249" s="709"/>
      <c r="J249" s="709"/>
      <c r="K249" s="709"/>
      <c r="L249" s="709"/>
      <c r="M249" s="709"/>
      <c r="N249" s="709"/>
      <c r="O249" s="709"/>
      <c r="P249" s="709"/>
      <c r="Q249" s="710"/>
    </row>
    <row r="250" spans="2:17" ht="14.25" customHeight="1" x14ac:dyDescent="0.25">
      <c r="B250" s="708"/>
      <c r="C250" s="709"/>
      <c r="D250" s="709"/>
      <c r="E250" s="709"/>
      <c r="F250" s="709"/>
      <c r="G250" s="709"/>
      <c r="H250" s="709"/>
      <c r="I250" s="709"/>
      <c r="J250" s="709"/>
      <c r="K250" s="709"/>
      <c r="L250" s="709"/>
      <c r="M250" s="709"/>
      <c r="N250" s="709"/>
      <c r="O250" s="709"/>
      <c r="P250" s="709"/>
      <c r="Q250" s="710"/>
    </row>
    <row r="251" spans="2:17" ht="14.25" customHeight="1" x14ac:dyDescent="0.25">
      <c r="B251" s="708"/>
      <c r="C251" s="709"/>
      <c r="D251" s="709"/>
      <c r="E251" s="709"/>
      <c r="F251" s="709"/>
      <c r="G251" s="709"/>
      <c r="H251" s="709"/>
      <c r="I251" s="709"/>
      <c r="J251" s="709"/>
      <c r="K251" s="709"/>
      <c r="L251" s="709"/>
      <c r="M251" s="709"/>
      <c r="N251" s="709"/>
      <c r="O251" s="709"/>
      <c r="P251" s="709"/>
      <c r="Q251" s="710"/>
    </row>
    <row r="252" spans="2:17" x14ac:dyDescent="0.25">
      <c r="B252" s="708"/>
      <c r="C252" s="709"/>
      <c r="D252" s="709"/>
      <c r="E252" s="709"/>
      <c r="F252" s="709"/>
      <c r="G252" s="709"/>
      <c r="H252" s="709"/>
      <c r="I252" s="709"/>
      <c r="J252" s="709"/>
      <c r="K252" s="709"/>
      <c r="L252" s="709"/>
      <c r="M252" s="709"/>
      <c r="N252" s="709"/>
      <c r="O252" s="709"/>
      <c r="P252" s="709"/>
      <c r="Q252" s="710"/>
    </row>
    <row r="253" spans="2:17" x14ac:dyDescent="0.25">
      <c r="B253" s="708"/>
      <c r="C253" s="709"/>
      <c r="D253" s="709"/>
      <c r="E253" s="709"/>
      <c r="F253" s="709"/>
      <c r="G253" s="709"/>
      <c r="H253" s="709"/>
      <c r="I253" s="709"/>
      <c r="J253" s="709"/>
      <c r="K253" s="709"/>
      <c r="L253" s="709"/>
      <c r="M253" s="709"/>
      <c r="N253" s="709"/>
      <c r="O253" s="709"/>
      <c r="P253" s="709"/>
      <c r="Q253" s="710"/>
    </row>
    <row r="254" spans="2:17" ht="14.25" customHeight="1" x14ac:dyDescent="0.25">
      <c r="B254" s="708"/>
      <c r="C254" s="709"/>
      <c r="D254" s="709"/>
      <c r="E254" s="709"/>
      <c r="F254" s="709"/>
      <c r="G254" s="709"/>
      <c r="H254" s="709"/>
      <c r="I254" s="709"/>
      <c r="J254" s="709"/>
      <c r="K254" s="709"/>
      <c r="L254" s="709"/>
      <c r="M254" s="709"/>
      <c r="N254" s="709"/>
      <c r="O254" s="709"/>
      <c r="P254" s="709"/>
      <c r="Q254" s="710"/>
    </row>
    <row r="255" spans="2:17" ht="14.25" customHeight="1" x14ac:dyDescent="0.25">
      <c r="B255" s="708"/>
      <c r="C255" s="709"/>
      <c r="D255" s="709"/>
      <c r="E255" s="709"/>
      <c r="F255" s="709"/>
      <c r="G255" s="709"/>
      <c r="H255" s="709"/>
      <c r="I255" s="709"/>
      <c r="J255" s="709"/>
      <c r="K255" s="709"/>
      <c r="L255" s="709"/>
      <c r="M255" s="709"/>
      <c r="N255" s="709"/>
      <c r="O255" s="709"/>
      <c r="P255" s="709"/>
      <c r="Q255" s="710"/>
    </row>
    <row r="256" spans="2:17" ht="14.25" customHeight="1" x14ac:dyDescent="0.25">
      <c r="B256" s="708"/>
      <c r="C256" s="709"/>
      <c r="D256" s="709"/>
      <c r="E256" s="709"/>
      <c r="F256" s="709"/>
      <c r="G256" s="709"/>
      <c r="H256" s="709"/>
      <c r="I256" s="709"/>
      <c r="J256" s="709"/>
      <c r="K256" s="709"/>
      <c r="L256" s="709"/>
      <c r="M256" s="709"/>
      <c r="N256" s="709"/>
      <c r="O256" s="709"/>
      <c r="P256" s="709"/>
      <c r="Q256" s="710"/>
    </row>
    <row r="257" spans="2:17" x14ac:dyDescent="0.25">
      <c r="B257" s="708"/>
      <c r="C257" s="709"/>
      <c r="D257" s="709"/>
      <c r="E257" s="709"/>
      <c r="F257" s="709"/>
      <c r="G257" s="709"/>
      <c r="H257" s="709"/>
      <c r="I257" s="709"/>
      <c r="J257" s="709"/>
      <c r="K257" s="709"/>
      <c r="L257" s="709"/>
      <c r="M257" s="709"/>
      <c r="N257" s="709"/>
      <c r="O257" s="709"/>
      <c r="P257" s="709"/>
      <c r="Q257" s="710"/>
    </row>
    <row r="258" spans="2:17" x14ac:dyDescent="0.25">
      <c r="B258" s="708"/>
      <c r="C258" s="709"/>
      <c r="D258" s="709"/>
      <c r="E258" s="709"/>
      <c r="F258" s="709"/>
      <c r="G258" s="709"/>
      <c r="H258" s="709"/>
      <c r="I258" s="709"/>
      <c r="J258" s="709"/>
      <c r="K258" s="709"/>
      <c r="L258" s="709"/>
      <c r="M258" s="709"/>
      <c r="N258" s="709"/>
      <c r="O258" s="709"/>
      <c r="P258" s="709"/>
      <c r="Q258" s="710"/>
    </row>
    <row r="259" spans="2:17" ht="14.25" customHeight="1" x14ac:dyDescent="0.25">
      <c r="B259" s="708"/>
      <c r="C259" s="709"/>
      <c r="D259" s="709"/>
      <c r="E259" s="709"/>
      <c r="F259" s="709"/>
      <c r="G259" s="709"/>
      <c r="H259" s="709"/>
      <c r="I259" s="709"/>
      <c r="J259" s="709"/>
      <c r="K259" s="709"/>
      <c r="L259" s="709"/>
      <c r="M259" s="709"/>
      <c r="N259" s="709"/>
      <c r="O259" s="709"/>
      <c r="P259" s="709"/>
      <c r="Q259" s="710"/>
    </row>
    <row r="260" spans="2:17" ht="14.25" customHeight="1" x14ac:dyDescent="0.25">
      <c r="B260" s="708"/>
      <c r="C260" s="709"/>
      <c r="D260" s="709"/>
      <c r="E260" s="709"/>
      <c r="F260" s="709"/>
      <c r="G260" s="709"/>
      <c r="H260" s="709"/>
      <c r="I260" s="709"/>
      <c r="J260" s="709"/>
      <c r="K260" s="709"/>
      <c r="L260" s="709"/>
      <c r="M260" s="709"/>
      <c r="N260" s="709"/>
      <c r="O260" s="709"/>
      <c r="P260" s="709"/>
      <c r="Q260" s="710"/>
    </row>
    <row r="261" spans="2:17" ht="14.25" customHeight="1" x14ac:dyDescent="0.25">
      <c r="B261" s="708"/>
      <c r="C261" s="709"/>
      <c r="D261" s="709"/>
      <c r="E261" s="709"/>
      <c r="F261" s="709"/>
      <c r="G261" s="709"/>
      <c r="H261" s="709"/>
      <c r="I261" s="709"/>
      <c r="J261" s="709"/>
      <c r="K261" s="709"/>
      <c r="L261" s="709"/>
      <c r="M261" s="709"/>
      <c r="N261" s="709"/>
      <c r="O261" s="709"/>
      <c r="P261" s="709"/>
      <c r="Q261" s="710"/>
    </row>
    <row r="262" spans="2:17" x14ac:dyDescent="0.25">
      <c r="B262" s="708"/>
      <c r="C262" s="709"/>
      <c r="D262" s="709"/>
      <c r="E262" s="709"/>
      <c r="F262" s="709"/>
      <c r="G262" s="709"/>
      <c r="H262" s="709"/>
      <c r="I262" s="709"/>
      <c r="J262" s="709"/>
      <c r="K262" s="709"/>
      <c r="L262" s="709"/>
      <c r="M262" s="709"/>
      <c r="N262" s="709"/>
      <c r="O262" s="709"/>
      <c r="P262" s="709"/>
      <c r="Q262" s="710"/>
    </row>
    <row r="263" spans="2:17" x14ac:dyDescent="0.25">
      <c r="B263" s="708"/>
      <c r="C263" s="709"/>
      <c r="D263" s="709"/>
      <c r="E263" s="709"/>
      <c r="F263" s="709"/>
      <c r="G263" s="709"/>
      <c r="H263" s="709"/>
      <c r="I263" s="709"/>
      <c r="J263" s="709"/>
      <c r="K263" s="709"/>
      <c r="L263" s="709"/>
      <c r="M263" s="709"/>
      <c r="N263" s="709"/>
      <c r="O263" s="709"/>
      <c r="P263" s="709"/>
      <c r="Q263" s="710"/>
    </row>
    <row r="264" spans="2:17" x14ac:dyDescent="0.25">
      <c r="B264" s="708"/>
      <c r="C264" s="709"/>
      <c r="D264" s="709"/>
      <c r="E264" s="709"/>
      <c r="F264" s="709"/>
      <c r="G264" s="709"/>
      <c r="H264" s="709"/>
      <c r="I264" s="709"/>
      <c r="J264" s="709"/>
      <c r="K264" s="709"/>
      <c r="L264" s="709"/>
      <c r="M264" s="709"/>
      <c r="N264" s="709"/>
      <c r="O264" s="709"/>
      <c r="P264" s="709"/>
      <c r="Q264" s="710"/>
    </row>
    <row r="265" spans="2:17" x14ac:dyDescent="0.25">
      <c r="B265" s="708"/>
      <c r="C265" s="709"/>
      <c r="D265" s="709"/>
      <c r="E265" s="709"/>
      <c r="F265" s="709"/>
      <c r="G265" s="709"/>
      <c r="H265" s="709"/>
      <c r="I265" s="709"/>
      <c r="J265" s="709"/>
      <c r="K265" s="709"/>
      <c r="L265" s="709"/>
      <c r="M265" s="709"/>
      <c r="N265" s="709"/>
      <c r="O265" s="709"/>
      <c r="P265" s="709"/>
      <c r="Q265" s="710"/>
    </row>
    <row r="266" spans="2:17" x14ac:dyDescent="0.25">
      <c r="B266" s="708"/>
      <c r="C266" s="709"/>
      <c r="D266" s="709"/>
      <c r="E266" s="709"/>
      <c r="F266" s="709"/>
      <c r="G266" s="709"/>
      <c r="H266" s="709"/>
      <c r="I266" s="709"/>
      <c r="J266" s="709"/>
      <c r="K266" s="709"/>
      <c r="L266" s="709"/>
      <c r="M266" s="709"/>
      <c r="N266" s="709"/>
      <c r="O266" s="709"/>
      <c r="P266" s="709"/>
      <c r="Q266" s="710"/>
    </row>
    <row r="267" spans="2:17" x14ac:dyDescent="0.25">
      <c r="B267" s="708"/>
      <c r="C267" s="709"/>
      <c r="D267" s="709"/>
      <c r="E267" s="709"/>
      <c r="F267" s="709"/>
      <c r="G267" s="709"/>
      <c r="H267" s="709"/>
      <c r="I267" s="709"/>
      <c r="J267" s="709"/>
      <c r="K267" s="709"/>
      <c r="L267" s="709"/>
      <c r="M267" s="709"/>
      <c r="N267" s="709"/>
      <c r="O267" s="709"/>
      <c r="P267" s="709"/>
      <c r="Q267" s="710"/>
    </row>
    <row r="268" spans="2:17" x14ac:dyDescent="0.25">
      <c r="B268" s="708"/>
      <c r="C268" s="709"/>
      <c r="D268" s="709"/>
      <c r="E268" s="709"/>
      <c r="F268" s="709"/>
      <c r="G268" s="709"/>
      <c r="H268" s="709"/>
      <c r="I268" s="709"/>
      <c r="J268" s="709"/>
      <c r="K268" s="709"/>
      <c r="L268" s="709"/>
      <c r="M268" s="709"/>
      <c r="N268" s="709"/>
      <c r="O268" s="709"/>
      <c r="P268" s="709"/>
      <c r="Q268" s="710"/>
    </row>
    <row r="269" spans="2:17" x14ac:dyDescent="0.25">
      <c r="B269" s="708"/>
      <c r="C269" s="709"/>
      <c r="D269" s="709"/>
      <c r="E269" s="709"/>
      <c r="F269" s="709"/>
      <c r="G269" s="709"/>
      <c r="H269" s="709"/>
      <c r="I269" s="709"/>
      <c r="J269" s="709"/>
      <c r="K269" s="709"/>
      <c r="L269" s="709"/>
      <c r="M269" s="709"/>
      <c r="N269" s="709"/>
      <c r="O269" s="709"/>
      <c r="P269" s="709"/>
      <c r="Q269" s="710"/>
    </row>
    <row r="270" spans="2:17" x14ac:dyDescent="0.25">
      <c r="B270" s="711"/>
      <c r="C270" s="712"/>
      <c r="D270" s="712"/>
      <c r="E270" s="712"/>
      <c r="F270" s="712"/>
      <c r="G270" s="712"/>
      <c r="H270" s="712"/>
      <c r="I270" s="712"/>
      <c r="J270" s="712"/>
      <c r="K270" s="712"/>
      <c r="L270" s="712"/>
      <c r="M270" s="712"/>
      <c r="N270" s="712"/>
      <c r="O270" s="712"/>
      <c r="P270" s="712"/>
      <c r="Q270" s="713"/>
    </row>
    <row r="271" spans="2:17" x14ac:dyDescent="0.25">
      <c r="B271" s="640"/>
      <c r="C271" s="640"/>
      <c r="D271" s="640"/>
      <c r="E271" s="640"/>
      <c r="F271" s="640"/>
      <c r="G271" s="640"/>
      <c r="H271" s="640"/>
      <c r="I271" s="640"/>
    </row>
    <row r="272" spans="2:17" x14ac:dyDescent="0.25">
      <c r="B272" s="640"/>
      <c r="C272" s="640"/>
      <c r="D272" s="640"/>
      <c r="E272" s="640"/>
      <c r="F272" s="640"/>
      <c r="G272" s="640"/>
      <c r="H272" s="640"/>
      <c r="I272" s="640"/>
    </row>
    <row r="273" spans="2:9" x14ac:dyDescent="0.25">
      <c r="B273" s="640"/>
      <c r="C273" s="640"/>
      <c r="D273" s="640"/>
      <c r="E273" s="640"/>
      <c r="F273" s="640"/>
      <c r="G273" s="640"/>
      <c r="H273" s="640"/>
      <c r="I273" s="640"/>
    </row>
    <row r="274" spans="2:9" x14ac:dyDescent="0.25">
      <c r="B274" s="714"/>
    </row>
    <row r="275" spans="2:9" x14ac:dyDescent="0.25">
      <c r="B275" s="512"/>
      <c r="C275" s="512"/>
      <c r="D275" s="512"/>
      <c r="E275" s="512"/>
      <c r="F275" s="512"/>
      <c r="G275" s="512"/>
      <c r="H275" s="512"/>
      <c r="I275" s="512"/>
    </row>
  </sheetData>
  <sheetProtection algorithmName="SHA-512" hashValue="Wx3/koGrFvGxX4uugKh7k8vd0veZFeXKOD+gGChA1YhdhG+sjyhbbmQWh8XoNzOx6vyIiuahd2dt9B97zcSnzA==" saltValue="7d18NCxqEDdTbwYQaL5Bfg==" spinCount="100000" sheet="1" formatColumns="0" formatRows="0"/>
  <mergeCells count="28">
    <mergeCell ref="C153:D153"/>
    <mergeCell ref="C165:D165"/>
    <mergeCell ref="C152:D152"/>
    <mergeCell ref="C151:D151"/>
    <mergeCell ref="H45:K45"/>
    <mergeCell ref="C154:D154"/>
    <mergeCell ref="C155:D155"/>
    <mergeCell ref="C156:D156"/>
    <mergeCell ref="C163:D163"/>
    <mergeCell ref="C164:D164"/>
    <mergeCell ref="C171:D171"/>
    <mergeCell ref="C172:D172"/>
    <mergeCell ref="C166:D166"/>
    <mergeCell ref="C167:D167"/>
    <mergeCell ref="C168:D168"/>
    <mergeCell ref="C169:D169"/>
    <mergeCell ref="C170:D170"/>
    <mergeCell ref="J17:P17"/>
    <mergeCell ref="J151:P151"/>
    <mergeCell ref="E151:I151"/>
    <mergeCell ref="N90:Q90"/>
    <mergeCell ref="H90:K90"/>
    <mergeCell ref="H69:K69"/>
    <mergeCell ref="N69:Q69"/>
    <mergeCell ref="L45:M45"/>
    <mergeCell ref="N45:Q45"/>
    <mergeCell ref="L69:M69"/>
    <mergeCell ref="L90:M90"/>
  </mergeCells>
  <phoneticPr fontId="8" type="noConversion"/>
  <conditionalFormatting sqref="B18:B40 B47:B63 B71:B85 B92:B108 B115:B144 B152:B172">
    <cfRule type="expression" dxfId="19" priority="14">
      <formula>AND(Q18&lt;&gt;0,B18="")</formula>
    </cfRule>
  </conditionalFormatting>
  <conditionalFormatting sqref="C47:C63">
    <cfRule type="expression" dxfId="18" priority="10">
      <formula>AND($Q47&lt;&gt;0,C47="")</formula>
    </cfRule>
  </conditionalFormatting>
  <conditionalFormatting sqref="C71:C85">
    <cfRule type="expression" dxfId="17" priority="8">
      <formula>AND($Q71&lt;&gt;0,C71="")</formula>
    </cfRule>
  </conditionalFormatting>
  <conditionalFormatting sqref="C92:C108">
    <cfRule type="expression" dxfId="16" priority="6">
      <formula>AND($Q92&lt;&gt;0,C92="")</formula>
    </cfRule>
  </conditionalFormatting>
  <conditionalFormatting sqref="C115:C144 C121:D144">
    <cfRule type="expression" dxfId="15" priority="3">
      <formula>AND($Q115&lt;&gt;0,C115="")</formula>
    </cfRule>
  </conditionalFormatting>
  <conditionalFormatting sqref="C18:D40">
    <cfRule type="expression" dxfId="14" priority="11">
      <formula>AND($I18&lt;&gt;0,$C18="")</formula>
    </cfRule>
  </conditionalFormatting>
  <conditionalFormatting sqref="D47:D63">
    <cfRule type="expression" dxfId="13" priority="16" stopIfTrue="1">
      <formula>AND(B47&lt;&gt;"",D47="")</formula>
    </cfRule>
  </conditionalFormatting>
  <conditionalFormatting sqref="D71:D85">
    <cfRule type="expression" dxfId="12" priority="18" stopIfTrue="1">
      <formula>AND(B71&lt;&gt;"",D71="")</formula>
    </cfRule>
  </conditionalFormatting>
  <conditionalFormatting sqref="D92:D108">
    <cfRule type="expression" dxfId="11" priority="1" stopIfTrue="1">
      <formula>AND(B92&lt;&gt;"",D92="")</formula>
    </cfRule>
  </conditionalFormatting>
  <conditionalFormatting sqref="E47:E63">
    <cfRule type="expression" dxfId="10" priority="9">
      <formula>AND($Q47&lt;&gt;0,E47="")</formula>
    </cfRule>
  </conditionalFormatting>
  <conditionalFormatting sqref="E71:E85">
    <cfRule type="expression" dxfId="9" priority="7">
      <formula>AND($Q71&lt;&gt;0,E71="")</formula>
    </cfRule>
  </conditionalFormatting>
  <conditionalFormatting sqref="E92:E108">
    <cfRule type="expression" dxfId="8" priority="5">
      <formula>AND($Q92&lt;&gt;0,E92="")</formula>
    </cfRule>
  </conditionalFormatting>
  <conditionalFormatting sqref="E115:E120">
    <cfRule type="expression" dxfId="7" priority="2">
      <formula>AND($D115&lt;&gt;0,E115="")</formula>
    </cfRule>
  </conditionalFormatting>
  <conditionalFormatting sqref="E18:G40">
    <cfRule type="expression" dxfId="6" priority="12">
      <formula>AND($C18&lt;&gt;"",$E18="")</formula>
    </cfRule>
  </conditionalFormatting>
  <conditionalFormatting sqref="F115:G121 H115:H122 E121:H144">
    <cfRule type="expression" dxfId="5" priority="13">
      <formula>AND($D115&lt;&gt;0,E115="")</formula>
    </cfRule>
  </conditionalFormatting>
  <dataValidations xWindow="851" yWindow="266" count="2">
    <dataValidation type="list" allowBlank="1" showInputMessage="1" showErrorMessage="1" sqref="B18:B40 B152:B172 B47:B63 B71:B85 B92:B108 B115:B144" xr:uid="{00000000-0002-0000-0500-000000000000}">
      <formula1>Fase</formula1>
    </dataValidation>
    <dataValidation type="list" allowBlank="1" showInputMessage="1" showErrorMessage="1" prompt="Geef aan of de aanvrager voor dit project BTW-plichtig of -vrijgesteld is; BTW-plichtig: voer de kosten op excl. BTW; BTW-vrijgesteld: voer de kosten op incl. BTW." sqref="E8" xr:uid="{00000000-0002-0000-0500-000001000000}">
      <formula1>BTW</formula1>
    </dataValidation>
  </dataValidations>
  <hyperlinks>
    <hyperlink ref="B8" location="'Uitleg Pilot'!Afdrukbereik" display="BTW (voor informatie, zie tabblad 'Uitleg Pilot')" xr:uid="{00000000-0004-0000-0500-000000000000}"/>
  </hyperlinks>
  <pageMargins left="0.23622047244094491" right="0.23622047244094491" top="0.74803149606299213" bottom="0.74803149606299213" header="0.31496062992125984" footer="0.31496062992125984"/>
  <pageSetup paperSize="8" scale="87" fitToHeight="0" orientation="portrait" r:id="rId1"/>
  <headerFooter alignWithMargins="0">
    <oddFooter>&amp;R&amp;"Verdana,Standaard"pagina: &amp;P
aantal pagina's: &amp;N</oddFooter>
  </headerFooter>
  <colBreaks count="1" manualBreakCount="1">
    <brk id="1" max="144" man="1"/>
  </colBreaks>
  <extLst>
    <ext xmlns:x14="http://schemas.microsoft.com/office/spreadsheetml/2009/9/main" uri="{CCE6A557-97BC-4b89-ADB6-D9C93CAAB3DF}">
      <x14:dataValidations xmlns:xm="http://schemas.microsoft.com/office/excel/2006/main" xWindow="851" yWindow="266" count="2">
        <x14:dataValidation type="list" allowBlank="1" showInputMessage="1" showErrorMessage="1" xr:uid="{34F9543D-A931-4BF3-9B07-205B697AC20A}">
          <x14:formula1>
            <xm:f>Lijsten!$D$3:$D$8</xm:f>
          </x14:formula1>
          <xm:sqref>E115:E144</xm:sqref>
        </x14:dataValidation>
        <x14:dataValidation type="list" allowBlank="1" showInputMessage="1" xr:uid="{3E234964-6716-43B4-B7CF-79263717E821}">
          <x14:formula1>
            <xm:f>Lijsten!$E$3:$E$10</xm:f>
          </x14:formula1>
          <xm:sqref>C18:C40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ABC3-067D-4DCD-908C-41D230EBBDE9}">
  <sheetPr>
    <tabColor rgb="FFFFFF00"/>
    <pageSetUpPr fitToPage="1"/>
  </sheetPr>
  <dimension ref="A1:P66"/>
  <sheetViews>
    <sheetView showGridLines="0" zoomScaleNormal="100" zoomScaleSheetLayoutView="100" workbookViewId="0">
      <selection activeCell="D13" sqref="D13"/>
    </sheetView>
  </sheetViews>
  <sheetFormatPr defaultColWidth="8" defaultRowHeight="11.5" x14ac:dyDescent="0.25"/>
  <cols>
    <col min="1" max="1" width="2" style="46" customWidth="1"/>
    <col min="2" max="2" width="35.453125" style="12" customWidth="1"/>
    <col min="3" max="4" width="17.453125" style="12" customWidth="1"/>
    <col min="5" max="5" width="29.453125" style="12" customWidth="1"/>
    <col min="6" max="6" width="20" style="12" customWidth="1"/>
    <col min="7" max="7" width="19.7265625" style="12" customWidth="1"/>
    <col min="8" max="8" width="18.7265625" style="12" customWidth="1"/>
    <col min="9" max="9" width="16.26953125" style="47" customWidth="1"/>
    <col min="10" max="10" width="16.26953125" style="12" customWidth="1"/>
    <col min="11" max="11" width="16.453125" style="43" customWidth="1"/>
    <col min="12" max="12" width="15.453125" style="12" customWidth="1"/>
    <col min="13" max="13" width="18.26953125" style="12" customWidth="1"/>
    <col min="14" max="14" width="16.453125" style="12" customWidth="1"/>
    <col min="15" max="15" width="15.453125" style="12" customWidth="1"/>
    <col min="16" max="16" width="17.453125" style="12" customWidth="1"/>
    <col min="17" max="19" width="17.26953125" style="12" customWidth="1"/>
    <col min="20" max="20" width="19.453125" style="12" customWidth="1"/>
    <col min="21" max="21" width="13.26953125" style="12" customWidth="1"/>
    <col min="22" max="22" width="14.7265625" style="12" customWidth="1"/>
    <col min="23" max="16384" width="8" style="12"/>
  </cols>
  <sheetData>
    <row r="1" spans="1:16" x14ac:dyDescent="0.25">
      <c r="A1" s="41"/>
      <c r="C1" s="41"/>
      <c r="D1" s="41"/>
      <c r="E1" s="41"/>
      <c r="F1" s="42" t="str">
        <f>IF(Project!B4="[Dit veld wordt door RVO ingevuld]","",Project!B4)</f>
        <v>[Dit veld vult RVO in]</v>
      </c>
      <c r="G1" s="42"/>
      <c r="H1" s="42"/>
      <c r="I1" s="41"/>
    </row>
    <row r="2" spans="1:16" ht="18.5" x14ac:dyDescent="0.35">
      <c r="A2" s="41"/>
      <c r="B2" s="153" t="s">
        <v>326</v>
      </c>
      <c r="C2" s="41"/>
      <c r="D2" s="41"/>
      <c r="E2" s="41"/>
      <c r="F2" s="41"/>
      <c r="G2" s="41"/>
      <c r="H2" s="41"/>
      <c r="I2" s="44"/>
    </row>
    <row r="3" spans="1:16" ht="12" thickBot="1" x14ac:dyDescent="0.3">
      <c r="A3" s="41"/>
      <c r="B3" s="41"/>
      <c r="C3" s="41"/>
      <c r="D3" s="41"/>
      <c r="E3" s="41"/>
      <c r="F3" s="41"/>
      <c r="G3" s="41"/>
      <c r="H3" s="41"/>
      <c r="I3" s="41"/>
      <c r="K3" s="45"/>
    </row>
    <row r="4" spans="1:16" ht="12" thickBot="1" x14ac:dyDescent="0.3">
      <c r="A4" s="41"/>
      <c r="B4" s="398" t="s">
        <v>327</v>
      </c>
      <c r="C4" s="399"/>
      <c r="D4" s="399"/>
      <c r="E4" s="399"/>
      <c r="F4" s="399"/>
      <c r="G4" s="399"/>
      <c r="H4" s="399"/>
      <c r="I4" s="399"/>
      <c r="J4" s="399"/>
      <c r="K4" s="399"/>
      <c r="L4" s="399"/>
      <c r="M4" s="400"/>
    </row>
    <row r="5" spans="1:16" x14ac:dyDescent="0.25">
      <c r="A5" s="41"/>
      <c r="B5" s="847" t="s">
        <v>328</v>
      </c>
      <c r="C5" s="276"/>
      <c r="D5" s="276"/>
      <c r="E5" s="276"/>
      <c r="F5" s="276"/>
      <c r="G5" s="276"/>
      <c r="H5" s="276"/>
      <c r="I5" s="276"/>
      <c r="J5" s="276"/>
      <c r="K5" s="276"/>
      <c r="L5" s="276"/>
      <c r="M5" s="277"/>
    </row>
    <row r="6" spans="1:16" x14ac:dyDescent="0.25">
      <c r="A6" s="41"/>
      <c r="B6" s="278" t="s">
        <v>329</v>
      </c>
      <c r="C6" s="882"/>
      <c r="D6" s="882"/>
      <c r="E6" s="882"/>
      <c r="F6" s="882"/>
      <c r="G6" s="882"/>
      <c r="H6" s="882"/>
      <c r="I6" s="882"/>
      <c r="J6" s="882"/>
      <c r="K6" s="882"/>
      <c r="L6" s="882"/>
      <c r="M6" s="279"/>
    </row>
    <row r="7" spans="1:16" ht="12" thickBot="1" x14ac:dyDescent="0.3">
      <c r="A7" s="41"/>
      <c r="B7" s="848" t="s">
        <v>330</v>
      </c>
      <c r="C7" s="280"/>
      <c r="D7" s="280"/>
      <c r="E7" s="280"/>
      <c r="F7" s="280"/>
      <c r="G7" s="280"/>
      <c r="H7" s="280"/>
      <c r="I7" s="280"/>
      <c r="J7" s="280"/>
      <c r="K7" s="280"/>
      <c r="L7" s="280"/>
      <c r="M7" s="281"/>
    </row>
    <row r="8" spans="1:16" x14ac:dyDescent="0.25">
      <c r="A8" s="41"/>
      <c r="B8" s="41"/>
      <c r="C8" s="41"/>
      <c r="D8" s="41"/>
      <c r="E8" s="41"/>
      <c r="F8" s="41"/>
      <c r="G8" s="41"/>
      <c r="H8" s="41"/>
      <c r="I8" s="41"/>
      <c r="K8" s="45"/>
    </row>
    <row r="9" spans="1:16" s="120" customFormat="1" ht="13.5" x14ac:dyDescent="0.25">
      <c r="A9" s="119"/>
      <c r="B9" s="155" t="s">
        <v>156</v>
      </c>
      <c r="C9" s="139"/>
      <c r="D9" s="140"/>
      <c r="E9" s="140"/>
      <c r="F9" s="121"/>
      <c r="G9" s="121"/>
      <c r="H9" s="121"/>
      <c r="I9" s="122"/>
      <c r="J9" s="122"/>
      <c r="K9" s="122"/>
      <c r="L9" s="122"/>
      <c r="M9" s="122"/>
      <c r="N9" s="465"/>
      <c r="O9" s="465"/>
      <c r="P9" s="465"/>
    </row>
    <row r="10" spans="1:16" s="120" customFormat="1" ht="13.5" x14ac:dyDescent="0.25">
      <c r="A10" s="119"/>
      <c r="B10" s="362"/>
      <c r="C10" s="363"/>
      <c r="D10" s="364"/>
      <c r="E10" s="364"/>
      <c r="F10" s="359"/>
      <c r="G10" s="359"/>
      <c r="H10" s="359"/>
      <c r="I10" s="360"/>
      <c r="J10" s="360"/>
      <c r="K10" s="361"/>
      <c r="L10" s="360"/>
      <c r="M10" s="361"/>
      <c r="N10" s="465"/>
      <c r="O10" s="465"/>
      <c r="P10" s="465"/>
    </row>
    <row r="11" spans="1:16" s="120" customFormat="1" ht="14.25" customHeight="1" x14ac:dyDescent="0.25">
      <c r="A11" s="119"/>
      <c r="B11" s="358"/>
      <c r="C11" s="175"/>
      <c r="D11" s="175"/>
      <c r="E11" s="175"/>
      <c r="F11" s="175"/>
      <c r="G11" s="176"/>
      <c r="H11" s="168"/>
      <c r="I11" s="168"/>
      <c r="J11" s="168"/>
      <c r="K11" s="169"/>
      <c r="L11" s="135"/>
      <c r="M11" s="169"/>
      <c r="N11" s="136"/>
      <c r="O11" s="136"/>
      <c r="P11" s="136"/>
    </row>
    <row r="12" spans="1:16" s="134" customFormat="1" ht="61.5" customHeight="1" x14ac:dyDescent="0.25">
      <c r="A12" s="133"/>
      <c r="B12" s="879" t="s">
        <v>331</v>
      </c>
      <c r="C12" s="880" t="s">
        <v>332</v>
      </c>
      <c r="D12" s="874" t="s">
        <v>333</v>
      </c>
      <c r="E12" s="873" t="s">
        <v>334</v>
      </c>
      <c r="F12" s="874" t="s">
        <v>335</v>
      </c>
      <c r="G12" s="874" t="s">
        <v>336</v>
      </c>
      <c r="H12" s="874" t="s">
        <v>337</v>
      </c>
      <c r="I12" s="875" t="s">
        <v>338</v>
      </c>
      <c r="J12" s="876" t="s">
        <v>339</v>
      </c>
      <c r="K12" s="875" t="s">
        <v>340</v>
      </c>
      <c r="L12" s="877" t="s">
        <v>341</v>
      </c>
      <c r="M12" s="878" t="s">
        <v>332</v>
      </c>
    </row>
    <row r="13" spans="1:16" s="393" customFormat="1" ht="14.15" customHeight="1" x14ac:dyDescent="0.25">
      <c r="A13" s="391"/>
      <c r="B13" s="395">
        <f>Begroting!E71</f>
        <v>0</v>
      </c>
      <c r="C13" s="392">
        <f>Begroting!F71</f>
        <v>0</v>
      </c>
      <c r="D13" s="396" t="s">
        <v>342</v>
      </c>
      <c r="E13" s="397" t="str">
        <f>IF(C13&lt;&gt;0,IF(D13="Nee","Verder specificeren is niet nodig","Specificeer in kolom F t/m M --&gt;"),"")</f>
        <v/>
      </c>
      <c r="F13" s="1029"/>
      <c r="G13" s="1029"/>
      <c r="H13" s="392">
        <f>SUM(F13:G13)</f>
        <v>0</v>
      </c>
      <c r="I13" s="1029"/>
      <c r="J13" s="1029"/>
      <c r="K13" s="392">
        <f>IFERROR(H13 * (I13 / (I13+J13)),0)</f>
        <v>0</v>
      </c>
      <c r="L13" s="392">
        <f>IFERROR(H13-K13,0)</f>
        <v>0</v>
      </c>
      <c r="M13" s="390">
        <f t="shared" ref="M13:M27" si="0">IF(D13="Nee",0,I13+K13)</f>
        <v>0</v>
      </c>
    </row>
    <row r="14" spans="1:16" s="393" customFormat="1" ht="14.15" customHeight="1" x14ac:dyDescent="0.25">
      <c r="A14" s="391"/>
      <c r="B14" s="395">
        <f>Begroting!E72</f>
        <v>0</v>
      </c>
      <c r="C14" s="392">
        <f>Begroting!F72</f>
        <v>0</v>
      </c>
      <c r="D14" s="396" t="s">
        <v>342</v>
      </c>
      <c r="E14" s="397" t="str">
        <f t="shared" ref="E14:E27" si="1">IF(C14&lt;&gt;0,IF(D14="Nee","Verder specificeren is niet nodig","Specificeer in kolom F t/m M --&gt;"),"")</f>
        <v/>
      </c>
      <c r="F14" s="1029"/>
      <c r="G14" s="1029"/>
      <c r="H14" s="392">
        <f t="shared" ref="H14:H27" si="2">SUM(F14:G14)</f>
        <v>0</v>
      </c>
      <c r="I14" s="1029"/>
      <c r="J14" s="1029"/>
      <c r="K14" s="392">
        <f t="shared" ref="K14:K27" si="3">IFERROR(H14 * (I14 / (I14+J14)),0)</f>
        <v>0</v>
      </c>
      <c r="L14" s="392">
        <f t="shared" ref="L14:L27" si="4">IFERROR(H14-K14,0)</f>
        <v>0</v>
      </c>
      <c r="M14" s="390">
        <f t="shared" si="0"/>
        <v>0</v>
      </c>
      <c r="N14" s="394"/>
    </row>
    <row r="15" spans="1:16" s="393" customFormat="1" ht="14.15" customHeight="1" x14ac:dyDescent="0.25">
      <c r="A15" s="391"/>
      <c r="B15" s="395">
        <f>Begroting!E73</f>
        <v>0</v>
      </c>
      <c r="C15" s="392">
        <f>Begroting!F73</f>
        <v>0</v>
      </c>
      <c r="D15" s="396" t="s">
        <v>342</v>
      </c>
      <c r="E15" s="397" t="str">
        <f t="shared" si="1"/>
        <v/>
      </c>
      <c r="F15" s="1029"/>
      <c r="G15" s="1029"/>
      <c r="H15" s="392">
        <f t="shared" si="2"/>
        <v>0</v>
      </c>
      <c r="I15" s="1029"/>
      <c r="J15" s="1029"/>
      <c r="K15" s="392">
        <f t="shared" si="3"/>
        <v>0</v>
      </c>
      <c r="L15" s="392">
        <f t="shared" si="4"/>
        <v>0</v>
      </c>
      <c r="M15" s="390">
        <f t="shared" si="0"/>
        <v>0</v>
      </c>
      <c r="N15" s="394"/>
    </row>
    <row r="16" spans="1:16" s="393" customFormat="1" ht="14.15" customHeight="1" x14ac:dyDescent="0.25">
      <c r="A16" s="391"/>
      <c r="B16" s="395">
        <f>Begroting!E74</f>
        <v>0</v>
      </c>
      <c r="C16" s="392">
        <f>Begroting!F74</f>
        <v>0</v>
      </c>
      <c r="D16" s="396" t="s">
        <v>342</v>
      </c>
      <c r="E16" s="397" t="str">
        <f t="shared" si="1"/>
        <v/>
      </c>
      <c r="F16" s="1029"/>
      <c r="G16" s="1029"/>
      <c r="H16" s="392">
        <f t="shared" si="2"/>
        <v>0</v>
      </c>
      <c r="I16" s="1029"/>
      <c r="J16" s="1029"/>
      <c r="K16" s="392">
        <f t="shared" si="3"/>
        <v>0</v>
      </c>
      <c r="L16" s="392">
        <f t="shared" si="4"/>
        <v>0</v>
      </c>
      <c r="M16" s="390">
        <f t="shared" si="0"/>
        <v>0</v>
      </c>
      <c r="N16" s="394"/>
    </row>
    <row r="17" spans="1:16" s="393" customFormat="1" ht="14.15" customHeight="1" x14ac:dyDescent="0.25">
      <c r="A17" s="391"/>
      <c r="B17" s="395">
        <f>Begroting!E75</f>
        <v>0</v>
      </c>
      <c r="C17" s="392">
        <f>Begroting!F75</f>
        <v>0</v>
      </c>
      <c r="D17" s="396" t="s">
        <v>342</v>
      </c>
      <c r="E17" s="397" t="str">
        <f t="shared" si="1"/>
        <v/>
      </c>
      <c r="F17" s="1029"/>
      <c r="G17" s="1029"/>
      <c r="H17" s="392">
        <f t="shared" si="2"/>
        <v>0</v>
      </c>
      <c r="I17" s="1029"/>
      <c r="J17" s="1029"/>
      <c r="K17" s="392">
        <f t="shared" si="3"/>
        <v>0</v>
      </c>
      <c r="L17" s="392">
        <f t="shared" si="4"/>
        <v>0</v>
      </c>
      <c r="M17" s="390">
        <f t="shared" si="0"/>
        <v>0</v>
      </c>
      <c r="N17" s="394"/>
    </row>
    <row r="18" spans="1:16" s="393" customFormat="1" ht="14.15" customHeight="1" x14ac:dyDescent="0.25">
      <c r="A18" s="391"/>
      <c r="B18" s="395">
        <f>Begroting!E76</f>
        <v>0</v>
      </c>
      <c r="C18" s="392">
        <f>Begroting!F76</f>
        <v>0</v>
      </c>
      <c r="D18" s="396" t="s">
        <v>342</v>
      </c>
      <c r="E18" s="397" t="str">
        <f t="shared" si="1"/>
        <v/>
      </c>
      <c r="F18" s="1029"/>
      <c r="G18" s="1029"/>
      <c r="H18" s="392">
        <f t="shared" si="2"/>
        <v>0</v>
      </c>
      <c r="I18" s="1029"/>
      <c r="J18" s="1029"/>
      <c r="K18" s="392">
        <f t="shared" si="3"/>
        <v>0</v>
      </c>
      <c r="L18" s="392">
        <f t="shared" si="4"/>
        <v>0</v>
      </c>
      <c r="M18" s="390">
        <f t="shared" si="0"/>
        <v>0</v>
      </c>
      <c r="N18" s="394"/>
    </row>
    <row r="19" spans="1:16" s="393" customFormat="1" ht="14.15" customHeight="1" x14ac:dyDescent="0.25">
      <c r="A19" s="391"/>
      <c r="B19" s="395">
        <f>Begroting!E77</f>
        <v>0</v>
      </c>
      <c r="C19" s="392">
        <f>Begroting!F77</f>
        <v>0</v>
      </c>
      <c r="D19" s="396" t="s">
        <v>342</v>
      </c>
      <c r="E19" s="397" t="str">
        <f t="shared" si="1"/>
        <v/>
      </c>
      <c r="F19" s="1029"/>
      <c r="G19" s="1029"/>
      <c r="H19" s="392">
        <f t="shared" si="2"/>
        <v>0</v>
      </c>
      <c r="I19" s="1029"/>
      <c r="J19" s="1029"/>
      <c r="K19" s="392">
        <f t="shared" si="3"/>
        <v>0</v>
      </c>
      <c r="L19" s="392">
        <f t="shared" si="4"/>
        <v>0</v>
      </c>
      <c r="M19" s="390">
        <f t="shared" si="0"/>
        <v>0</v>
      </c>
      <c r="N19" s="394"/>
    </row>
    <row r="20" spans="1:16" s="393" customFormat="1" ht="14.15" customHeight="1" x14ac:dyDescent="0.25">
      <c r="A20" s="391"/>
      <c r="B20" s="395">
        <f>Begroting!E78</f>
        <v>0</v>
      </c>
      <c r="C20" s="392">
        <f>Begroting!F78</f>
        <v>0</v>
      </c>
      <c r="D20" s="396" t="s">
        <v>342</v>
      </c>
      <c r="E20" s="397" t="str">
        <f t="shared" si="1"/>
        <v/>
      </c>
      <c r="F20" s="1029"/>
      <c r="G20" s="1029"/>
      <c r="H20" s="392">
        <f t="shared" si="2"/>
        <v>0</v>
      </c>
      <c r="I20" s="1029"/>
      <c r="J20" s="1029"/>
      <c r="K20" s="392">
        <f t="shared" si="3"/>
        <v>0</v>
      </c>
      <c r="L20" s="392">
        <f t="shared" si="4"/>
        <v>0</v>
      </c>
      <c r="M20" s="390">
        <f t="shared" si="0"/>
        <v>0</v>
      </c>
      <c r="N20" s="394"/>
    </row>
    <row r="21" spans="1:16" s="393" customFormat="1" ht="14.15" customHeight="1" x14ac:dyDescent="0.25">
      <c r="A21" s="391"/>
      <c r="B21" s="395">
        <f>Begroting!E79</f>
        <v>0</v>
      </c>
      <c r="C21" s="392">
        <f>Begroting!F79</f>
        <v>0</v>
      </c>
      <c r="D21" s="396" t="s">
        <v>342</v>
      </c>
      <c r="E21" s="397" t="str">
        <f t="shared" si="1"/>
        <v/>
      </c>
      <c r="F21" s="1029"/>
      <c r="G21" s="1029"/>
      <c r="H21" s="392">
        <f t="shared" si="2"/>
        <v>0</v>
      </c>
      <c r="I21" s="1029"/>
      <c r="J21" s="1029"/>
      <c r="K21" s="392">
        <f t="shared" si="3"/>
        <v>0</v>
      </c>
      <c r="L21" s="392">
        <f t="shared" si="4"/>
        <v>0</v>
      </c>
      <c r="M21" s="390">
        <f t="shared" si="0"/>
        <v>0</v>
      </c>
      <c r="N21" s="394"/>
    </row>
    <row r="22" spans="1:16" s="393" customFormat="1" ht="14.15" customHeight="1" x14ac:dyDescent="0.25">
      <c r="A22" s="391"/>
      <c r="B22" s="395">
        <f>Begroting!E80</f>
        <v>0</v>
      </c>
      <c r="C22" s="392">
        <f>Begroting!F80</f>
        <v>0</v>
      </c>
      <c r="D22" s="396" t="s">
        <v>342</v>
      </c>
      <c r="E22" s="397" t="str">
        <f t="shared" si="1"/>
        <v/>
      </c>
      <c r="F22" s="1029"/>
      <c r="G22" s="1029"/>
      <c r="H22" s="392">
        <f t="shared" si="2"/>
        <v>0</v>
      </c>
      <c r="I22" s="1029"/>
      <c r="J22" s="1029"/>
      <c r="K22" s="392">
        <f t="shared" si="3"/>
        <v>0</v>
      </c>
      <c r="L22" s="392">
        <f t="shared" si="4"/>
        <v>0</v>
      </c>
      <c r="M22" s="390">
        <f t="shared" si="0"/>
        <v>0</v>
      </c>
      <c r="N22" s="394"/>
    </row>
    <row r="23" spans="1:16" s="393" customFormat="1" ht="14.15" customHeight="1" x14ac:dyDescent="0.25">
      <c r="A23" s="391"/>
      <c r="B23" s="395">
        <f>Begroting!E81</f>
        <v>0</v>
      </c>
      <c r="C23" s="392">
        <f>Begroting!F81</f>
        <v>0</v>
      </c>
      <c r="D23" s="396" t="s">
        <v>342</v>
      </c>
      <c r="E23" s="397" t="str">
        <f t="shared" si="1"/>
        <v/>
      </c>
      <c r="F23" s="1029"/>
      <c r="G23" s="1029"/>
      <c r="H23" s="392">
        <f t="shared" si="2"/>
        <v>0</v>
      </c>
      <c r="I23" s="1029"/>
      <c r="J23" s="1029"/>
      <c r="K23" s="392">
        <f t="shared" si="3"/>
        <v>0</v>
      </c>
      <c r="L23" s="392">
        <f t="shared" si="4"/>
        <v>0</v>
      </c>
      <c r="M23" s="390">
        <f t="shared" si="0"/>
        <v>0</v>
      </c>
      <c r="N23" s="394"/>
    </row>
    <row r="24" spans="1:16" s="393" customFormat="1" ht="14.15" customHeight="1" x14ac:dyDescent="0.25">
      <c r="A24" s="391"/>
      <c r="B24" s="395">
        <f>Begroting!E82</f>
        <v>0</v>
      </c>
      <c r="C24" s="392">
        <f>Begroting!F82</f>
        <v>0</v>
      </c>
      <c r="D24" s="396" t="s">
        <v>342</v>
      </c>
      <c r="E24" s="397" t="str">
        <f t="shared" si="1"/>
        <v/>
      </c>
      <c r="F24" s="1029"/>
      <c r="G24" s="1029"/>
      <c r="H24" s="392">
        <f t="shared" si="2"/>
        <v>0</v>
      </c>
      <c r="I24" s="1029"/>
      <c r="J24" s="1029"/>
      <c r="K24" s="392">
        <f t="shared" si="3"/>
        <v>0</v>
      </c>
      <c r="L24" s="392">
        <f t="shared" si="4"/>
        <v>0</v>
      </c>
      <c r="M24" s="390">
        <f t="shared" si="0"/>
        <v>0</v>
      </c>
      <c r="N24" s="394"/>
    </row>
    <row r="25" spans="1:16" s="393" customFormat="1" ht="14.15" customHeight="1" x14ac:dyDescent="0.25">
      <c r="A25" s="391"/>
      <c r="B25" s="395">
        <f>Begroting!E83</f>
        <v>0</v>
      </c>
      <c r="C25" s="392">
        <f>Begroting!F83</f>
        <v>0</v>
      </c>
      <c r="D25" s="396" t="s">
        <v>342</v>
      </c>
      <c r="E25" s="397" t="str">
        <f t="shared" si="1"/>
        <v/>
      </c>
      <c r="F25" s="1029"/>
      <c r="G25" s="1029"/>
      <c r="H25" s="392">
        <f t="shared" si="2"/>
        <v>0</v>
      </c>
      <c r="I25" s="1029"/>
      <c r="J25" s="1029"/>
      <c r="K25" s="392">
        <f t="shared" si="3"/>
        <v>0</v>
      </c>
      <c r="L25" s="392">
        <f t="shared" si="4"/>
        <v>0</v>
      </c>
      <c r="M25" s="390">
        <f t="shared" si="0"/>
        <v>0</v>
      </c>
      <c r="N25" s="394"/>
    </row>
    <row r="26" spans="1:16" s="393" customFormat="1" ht="14.15" customHeight="1" x14ac:dyDescent="0.25">
      <c r="A26" s="391"/>
      <c r="B26" s="395">
        <f>Begroting!E84</f>
        <v>0</v>
      </c>
      <c r="C26" s="392">
        <f>Begroting!F84</f>
        <v>0</v>
      </c>
      <c r="D26" s="396" t="s">
        <v>342</v>
      </c>
      <c r="E26" s="397" t="str">
        <f t="shared" si="1"/>
        <v/>
      </c>
      <c r="F26" s="1029"/>
      <c r="G26" s="1029"/>
      <c r="H26" s="392">
        <f t="shared" si="2"/>
        <v>0</v>
      </c>
      <c r="I26" s="1029"/>
      <c r="J26" s="1029"/>
      <c r="K26" s="392">
        <f t="shared" si="3"/>
        <v>0</v>
      </c>
      <c r="L26" s="392">
        <f t="shared" si="4"/>
        <v>0</v>
      </c>
      <c r="M26" s="390">
        <f t="shared" si="0"/>
        <v>0</v>
      </c>
      <c r="N26" s="394"/>
    </row>
    <row r="27" spans="1:16" s="393" customFormat="1" ht="14.15" customHeight="1" thickBot="1" x14ac:dyDescent="0.3">
      <c r="A27" s="391"/>
      <c r="B27" s="395">
        <f>Begroting!E85</f>
        <v>0</v>
      </c>
      <c r="C27" s="392">
        <f>Begroting!F85</f>
        <v>0</v>
      </c>
      <c r="D27" s="396" t="s">
        <v>342</v>
      </c>
      <c r="E27" s="397" t="str">
        <f t="shared" si="1"/>
        <v/>
      </c>
      <c r="F27" s="1029"/>
      <c r="G27" s="1029"/>
      <c r="H27" s="392">
        <f t="shared" si="2"/>
        <v>0</v>
      </c>
      <c r="I27" s="1029"/>
      <c r="J27" s="1029"/>
      <c r="K27" s="392">
        <f t="shared" si="3"/>
        <v>0</v>
      </c>
      <c r="L27" s="392">
        <f t="shared" si="4"/>
        <v>0</v>
      </c>
      <c r="M27" s="390">
        <f t="shared" si="0"/>
        <v>0</v>
      </c>
      <c r="N27" s="394"/>
    </row>
    <row r="28" spans="1:16" s="120" customFormat="1" ht="14.15" customHeight="1" thickBot="1" x14ac:dyDescent="0.3">
      <c r="A28" s="119"/>
      <c r="B28" s="12"/>
      <c r="C28" s="171"/>
      <c r="D28" s="172"/>
      <c r="E28" s="12"/>
      <c r="F28" s="389"/>
      <c r="G28" s="12"/>
      <c r="H28" s="43"/>
      <c r="I28" s="12"/>
      <c r="J28" s="12"/>
      <c r="K28" s="12"/>
      <c r="L28" s="12"/>
      <c r="N28" s="12"/>
      <c r="O28" s="12"/>
      <c r="P28" s="12"/>
    </row>
    <row r="29" spans="1:16" ht="14.15" customHeight="1" thickBot="1" x14ac:dyDescent="0.3">
      <c r="B29" s="23"/>
      <c r="C29" s="23"/>
      <c r="D29" s="23"/>
      <c r="I29" s="48"/>
    </row>
    <row r="30" spans="1:16" s="120" customFormat="1" ht="13.5" x14ac:dyDescent="0.25">
      <c r="A30" s="119"/>
      <c r="B30" s="925" t="s">
        <v>343</v>
      </c>
      <c r="C30" s="926"/>
      <c r="D30" s="926"/>
      <c r="E30" s="926"/>
      <c r="F30" s="926"/>
      <c r="G30" s="926"/>
      <c r="H30" s="926"/>
      <c r="I30" s="926"/>
      <c r="J30" s="926"/>
      <c r="K30" s="926"/>
      <c r="L30" s="926"/>
      <c r="M30" s="927"/>
      <c r="N30" s="923"/>
      <c r="O30" s="923"/>
      <c r="P30" s="923"/>
    </row>
    <row r="31" spans="1:16" x14ac:dyDescent="0.25">
      <c r="B31" s="195"/>
      <c r="C31" s="196"/>
      <c r="D31" s="196"/>
      <c r="E31" s="196"/>
      <c r="F31" s="196"/>
      <c r="G31" s="196"/>
      <c r="H31" s="196"/>
      <c r="I31" s="196"/>
      <c r="J31" s="196"/>
      <c r="K31" s="196"/>
      <c r="L31" s="196"/>
      <c r="M31" s="197"/>
      <c r="N31" s="924"/>
      <c r="O31" s="924"/>
      <c r="P31" s="924"/>
    </row>
    <row r="32" spans="1:16" ht="14.25" customHeight="1" x14ac:dyDescent="0.25">
      <c r="B32" s="198"/>
      <c r="C32" s="199"/>
      <c r="D32" s="199"/>
      <c r="E32" s="199"/>
      <c r="F32" s="199"/>
      <c r="G32" s="199"/>
      <c r="H32" s="199"/>
      <c r="I32" s="199"/>
      <c r="J32" s="199"/>
      <c r="K32" s="199"/>
      <c r="L32" s="199"/>
      <c r="M32" s="200"/>
      <c r="N32" s="924"/>
      <c r="O32" s="924"/>
      <c r="P32" s="924"/>
    </row>
    <row r="33" spans="2:16" ht="14.25" customHeight="1" x14ac:dyDescent="0.25">
      <c r="B33" s="198"/>
      <c r="C33" s="199"/>
      <c r="D33" s="199"/>
      <c r="E33" s="199"/>
      <c r="F33" s="199"/>
      <c r="G33" s="199"/>
      <c r="H33" s="199"/>
      <c r="I33" s="199"/>
      <c r="J33" s="199"/>
      <c r="K33" s="199"/>
      <c r="L33" s="199"/>
      <c r="M33" s="200"/>
      <c r="N33" s="924"/>
      <c r="O33" s="924"/>
      <c r="P33" s="924"/>
    </row>
    <row r="34" spans="2:16" ht="14.25" customHeight="1" x14ac:dyDescent="0.25">
      <c r="B34" s="198"/>
      <c r="C34" s="199"/>
      <c r="D34" s="199"/>
      <c r="E34" s="199"/>
      <c r="F34" s="199"/>
      <c r="G34" s="199"/>
      <c r="H34" s="199"/>
      <c r="I34" s="199"/>
      <c r="J34" s="199"/>
      <c r="K34" s="199"/>
      <c r="L34" s="199"/>
      <c r="M34" s="200"/>
      <c r="N34" s="924"/>
      <c r="O34" s="924"/>
      <c r="P34" s="924"/>
    </row>
    <row r="35" spans="2:16" x14ac:dyDescent="0.25">
      <c r="B35" s="198"/>
      <c r="C35" s="199"/>
      <c r="D35" s="199"/>
      <c r="E35" s="199"/>
      <c r="F35" s="199"/>
      <c r="G35" s="199"/>
      <c r="H35" s="199"/>
      <c r="I35" s="199"/>
      <c r="J35" s="199"/>
      <c r="K35" s="199"/>
      <c r="L35" s="199"/>
      <c r="M35" s="200"/>
      <c r="N35" s="924"/>
      <c r="O35" s="924"/>
      <c r="P35" s="924"/>
    </row>
    <row r="36" spans="2:16" x14ac:dyDescent="0.25">
      <c r="B36" s="198"/>
      <c r="C36" s="199"/>
      <c r="D36" s="199"/>
      <c r="E36" s="199"/>
      <c r="F36" s="199"/>
      <c r="G36" s="199"/>
      <c r="H36" s="199"/>
      <c r="I36" s="199"/>
      <c r="J36" s="199"/>
      <c r="K36" s="199"/>
      <c r="L36" s="199"/>
      <c r="M36" s="200"/>
      <c r="N36" s="924"/>
      <c r="O36" s="924"/>
      <c r="P36" s="924"/>
    </row>
    <row r="37" spans="2:16" ht="14.25" customHeight="1" x14ac:dyDescent="0.25">
      <c r="B37" s="198"/>
      <c r="C37" s="199"/>
      <c r="D37" s="199"/>
      <c r="E37" s="199"/>
      <c r="F37" s="199"/>
      <c r="G37" s="199"/>
      <c r="H37" s="199"/>
      <c r="I37" s="199"/>
      <c r="J37" s="199"/>
      <c r="K37" s="199"/>
      <c r="L37" s="199"/>
      <c r="M37" s="200"/>
      <c r="N37" s="924"/>
      <c r="O37" s="924"/>
      <c r="P37" s="924"/>
    </row>
    <row r="38" spans="2:16" ht="14.25" customHeight="1" x14ac:dyDescent="0.25">
      <c r="B38" s="198"/>
      <c r="C38" s="199"/>
      <c r="D38" s="199"/>
      <c r="E38" s="199"/>
      <c r="F38" s="199"/>
      <c r="G38" s="199"/>
      <c r="H38" s="199"/>
      <c r="I38" s="199"/>
      <c r="J38" s="199"/>
      <c r="K38" s="199"/>
      <c r="L38" s="199"/>
      <c r="M38" s="200"/>
      <c r="N38" s="924"/>
      <c r="O38" s="924"/>
      <c r="P38" s="924"/>
    </row>
    <row r="39" spans="2:16" x14ac:dyDescent="0.25">
      <c r="B39" s="198"/>
      <c r="C39" s="199"/>
      <c r="D39" s="199"/>
      <c r="E39" s="199"/>
      <c r="F39" s="199"/>
      <c r="G39" s="199"/>
      <c r="H39" s="199"/>
      <c r="I39" s="199"/>
      <c r="J39" s="199"/>
      <c r="K39" s="199"/>
      <c r="L39" s="199"/>
      <c r="M39" s="200"/>
      <c r="N39" s="924"/>
      <c r="O39" s="924"/>
      <c r="P39" s="924"/>
    </row>
    <row r="40" spans="2:16" ht="14.25" customHeight="1" x14ac:dyDescent="0.25">
      <c r="B40" s="198"/>
      <c r="C40" s="199"/>
      <c r="D40" s="199"/>
      <c r="E40" s="199"/>
      <c r="F40" s="199"/>
      <c r="G40" s="199"/>
      <c r="H40" s="199"/>
      <c r="I40" s="199"/>
      <c r="J40" s="199"/>
      <c r="K40" s="199"/>
      <c r="L40" s="199"/>
      <c r="M40" s="200"/>
      <c r="N40" s="924"/>
      <c r="O40" s="924"/>
      <c r="P40" s="924"/>
    </row>
    <row r="41" spans="2:16" ht="14.25" customHeight="1" x14ac:dyDescent="0.25">
      <c r="B41" s="198"/>
      <c r="C41" s="199"/>
      <c r="D41" s="199"/>
      <c r="E41" s="199"/>
      <c r="F41" s="199"/>
      <c r="G41" s="199"/>
      <c r="H41" s="199"/>
      <c r="I41" s="199"/>
      <c r="J41" s="199"/>
      <c r="K41" s="199"/>
      <c r="L41" s="199"/>
      <c r="M41" s="200"/>
      <c r="N41" s="924"/>
      <c r="O41" s="924"/>
      <c r="P41" s="924"/>
    </row>
    <row r="42" spans="2:16" ht="14.25" customHeight="1" x14ac:dyDescent="0.25">
      <c r="B42" s="198"/>
      <c r="C42" s="199"/>
      <c r="D42" s="199"/>
      <c r="E42" s="199"/>
      <c r="F42" s="199"/>
      <c r="G42" s="199"/>
      <c r="H42" s="199"/>
      <c r="I42" s="199"/>
      <c r="J42" s="199"/>
      <c r="K42" s="199"/>
      <c r="L42" s="199"/>
      <c r="M42" s="200"/>
      <c r="N42" s="924"/>
      <c r="O42" s="924"/>
      <c r="P42" s="924"/>
    </row>
    <row r="43" spans="2:16" x14ac:dyDescent="0.25">
      <c r="B43" s="198"/>
      <c r="C43" s="199"/>
      <c r="D43" s="199"/>
      <c r="E43" s="199"/>
      <c r="F43" s="199"/>
      <c r="G43" s="199"/>
      <c r="H43" s="199"/>
      <c r="I43" s="199"/>
      <c r="J43" s="199"/>
      <c r="K43" s="199"/>
      <c r="L43" s="199"/>
      <c r="M43" s="200"/>
      <c r="N43" s="924"/>
      <c r="O43" s="924"/>
      <c r="P43" s="924"/>
    </row>
    <row r="44" spans="2:16" x14ac:dyDescent="0.25">
      <c r="B44" s="198"/>
      <c r="C44" s="199"/>
      <c r="D44" s="199"/>
      <c r="E44" s="199"/>
      <c r="F44" s="199"/>
      <c r="G44" s="199"/>
      <c r="H44" s="199"/>
      <c r="I44" s="199"/>
      <c r="J44" s="199"/>
      <c r="K44" s="199"/>
      <c r="L44" s="199"/>
      <c r="M44" s="200"/>
      <c r="N44" s="924"/>
      <c r="O44" s="924"/>
      <c r="P44" s="924"/>
    </row>
    <row r="45" spans="2:16" ht="14.25" customHeight="1" x14ac:dyDescent="0.25">
      <c r="B45" s="198"/>
      <c r="C45" s="199"/>
      <c r="D45" s="199"/>
      <c r="E45" s="199"/>
      <c r="F45" s="199"/>
      <c r="G45" s="199"/>
      <c r="H45" s="199"/>
      <c r="I45" s="199"/>
      <c r="J45" s="199"/>
      <c r="K45" s="199"/>
      <c r="L45" s="199"/>
      <c r="M45" s="200"/>
      <c r="N45" s="924"/>
      <c r="O45" s="924"/>
      <c r="P45" s="924"/>
    </row>
    <row r="46" spans="2:16" ht="14.25" customHeight="1" x14ac:dyDescent="0.25">
      <c r="B46" s="198"/>
      <c r="C46" s="199"/>
      <c r="D46" s="199"/>
      <c r="E46" s="199"/>
      <c r="F46" s="199"/>
      <c r="G46" s="199"/>
      <c r="H46" s="199"/>
      <c r="I46" s="199"/>
      <c r="J46" s="199"/>
      <c r="K46" s="199"/>
      <c r="L46" s="199"/>
      <c r="M46" s="200"/>
      <c r="N46" s="924"/>
      <c r="O46" s="924"/>
      <c r="P46" s="924"/>
    </row>
    <row r="47" spans="2:16" ht="14.25" customHeight="1" x14ac:dyDescent="0.25">
      <c r="B47" s="198"/>
      <c r="C47" s="199"/>
      <c r="D47" s="199"/>
      <c r="E47" s="199"/>
      <c r="F47" s="199"/>
      <c r="G47" s="199"/>
      <c r="H47" s="199"/>
      <c r="I47" s="199"/>
      <c r="J47" s="199"/>
      <c r="K47" s="199"/>
      <c r="L47" s="199"/>
      <c r="M47" s="200"/>
      <c r="N47" s="924"/>
      <c r="O47" s="924"/>
      <c r="P47" s="924"/>
    </row>
    <row r="48" spans="2:16" x14ac:dyDescent="0.25">
      <c r="B48" s="198"/>
      <c r="C48" s="199"/>
      <c r="D48" s="199"/>
      <c r="E48" s="199"/>
      <c r="F48" s="199"/>
      <c r="G48" s="199"/>
      <c r="H48" s="199"/>
      <c r="I48" s="199"/>
      <c r="J48" s="199"/>
      <c r="K48" s="199"/>
      <c r="L48" s="199"/>
      <c r="M48" s="200"/>
      <c r="N48" s="924"/>
      <c r="O48" s="924"/>
      <c r="P48" s="924"/>
    </row>
    <row r="49" spans="2:16" x14ac:dyDescent="0.25">
      <c r="B49" s="198"/>
      <c r="C49" s="199"/>
      <c r="D49" s="199"/>
      <c r="E49" s="199"/>
      <c r="F49" s="199"/>
      <c r="G49" s="199"/>
      <c r="H49" s="199"/>
      <c r="I49" s="199"/>
      <c r="J49" s="199"/>
      <c r="K49" s="199"/>
      <c r="L49" s="199"/>
      <c r="M49" s="200"/>
      <c r="N49" s="924"/>
      <c r="O49" s="924"/>
      <c r="P49" s="924"/>
    </row>
    <row r="50" spans="2:16" ht="14.25" customHeight="1" x14ac:dyDescent="0.25">
      <c r="B50" s="198"/>
      <c r="C50" s="199"/>
      <c r="D50" s="199"/>
      <c r="E50" s="199"/>
      <c r="F50" s="199"/>
      <c r="G50" s="199"/>
      <c r="H50" s="199"/>
      <c r="I50" s="199"/>
      <c r="J50" s="199"/>
      <c r="K50" s="199"/>
      <c r="L50" s="199"/>
      <c r="M50" s="200"/>
      <c r="N50" s="924"/>
      <c r="O50" s="924"/>
      <c r="P50" s="924"/>
    </row>
    <row r="51" spans="2:16" ht="14.25" customHeight="1" x14ac:dyDescent="0.25">
      <c r="B51" s="198"/>
      <c r="C51" s="199"/>
      <c r="D51" s="199"/>
      <c r="E51" s="199"/>
      <c r="F51" s="199"/>
      <c r="G51" s="199"/>
      <c r="H51" s="199"/>
      <c r="I51" s="199"/>
      <c r="J51" s="199"/>
      <c r="K51" s="199"/>
      <c r="L51" s="199"/>
      <c r="M51" s="200"/>
      <c r="N51" s="924"/>
      <c r="O51" s="924"/>
      <c r="P51" s="924"/>
    </row>
    <row r="52" spans="2:16" ht="14.25" customHeight="1" x14ac:dyDescent="0.25">
      <c r="B52" s="198"/>
      <c r="C52" s="199"/>
      <c r="D52" s="199"/>
      <c r="E52" s="199"/>
      <c r="F52" s="199"/>
      <c r="G52" s="199"/>
      <c r="H52" s="199"/>
      <c r="I52" s="199"/>
      <c r="J52" s="199"/>
      <c r="K52" s="199"/>
      <c r="L52" s="199"/>
      <c r="M52" s="200"/>
      <c r="N52" s="924"/>
      <c r="O52" s="924"/>
      <c r="P52" s="924"/>
    </row>
    <row r="53" spans="2:16" x14ac:dyDescent="0.25">
      <c r="B53" s="198"/>
      <c r="C53" s="199"/>
      <c r="D53" s="199"/>
      <c r="E53" s="199"/>
      <c r="F53" s="199"/>
      <c r="G53" s="199"/>
      <c r="H53" s="199"/>
      <c r="I53" s="199"/>
      <c r="J53" s="199"/>
      <c r="K53" s="199"/>
      <c r="L53" s="199"/>
      <c r="M53" s="200"/>
      <c r="N53" s="924"/>
      <c r="O53" s="924"/>
      <c r="P53" s="924"/>
    </row>
    <row r="54" spans="2:16" x14ac:dyDescent="0.25">
      <c r="B54" s="198"/>
      <c r="C54" s="199"/>
      <c r="D54" s="199"/>
      <c r="E54" s="199"/>
      <c r="F54" s="199"/>
      <c r="G54" s="199"/>
      <c r="H54" s="199"/>
      <c r="I54" s="199"/>
      <c r="J54" s="199"/>
      <c r="K54" s="199"/>
      <c r="L54" s="199"/>
      <c r="M54" s="200"/>
      <c r="N54" s="924"/>
      <c r="O54" s="924"/>
      <c r="P54" s="924"/>
    </row>
    <row r="55" spans="2:16" x14ac:dyDescent="0.25">
      <c r="B55" s="198"/>
      <c r="C55" s="199"/>
      <c r="D55" s="199"/>
      <c r="E55" s="199"/>
      <c r="F55" s="199"/>
      <c r="G55" s="199"/>
      <c r="H55" s="199"/>
      <c r="I55" s="199"/>
      <c r="J55" s="199"/>
      <c r="K55" s="199"/>
      <c r="L55" s="199"/>
      <c r="M55" s="200"/>
      <c r="N55" s="924"/>
      <c r="O55" s="924"/>
      <c r="P55" s="924"/>
    </row>
    <row r="56" spans="2:16" x14ac:dyDescent="0.25">
      <c r="B56" s="198"/>
      <c r="C56" s="199"/>
      <c r="D56" s="199"/>
      <c r="E56" s="199"/>
      <c r="F56" s="199"/>
      <c r="G56" s="199"/>
      <c r="H56" s="199"/>
      <c r="I56" s="199"/>
      <c r="J56" s="199"/>
      <c r="K56" s="199"/>
      <c r="L56" s="199"/>
      <c r="M56" s="200"/>
      <c r="N56" s="924"/>
      <c r="O56" s="924"/>
      <c r="P56" s="924"/>
    </row>
    <row r="57" spans="2:16" x14ac:dyDescent="0.25">
      <c r="B57" s="198"/>
      <c r="C57" s="199"/>
      <c r="D57" s="199"/>
      <c r="E57" s="199"/>
      <c r="F57" s="199"/>
      <c r="G57" s="199"/>
      <c r="H57" s="199"/>
      <c r="I57" s="199"/>
      <c r="J57" s="199"/>
      <c r="K57" s="199"/>
      <c r="L57" s="199"/>
      <c r="M57" s="200"/>
      <c r="N57" s="924"/>
      <c r="O57" s="924"/>
      <c r="P57" s="924"/>
    </row>
    <row r="58" spans="2:16" x14ac:dyDescent="0.25">
      <c r="B58" s="198"/>
      <c r="C58" s="199"/>
      <c r="D58" s="199"/>
      <c r="E58" s="199"/>
      <c r="F58" s="199"/>
      <c r="G58" s="199"/>
      <c r="H58" s="199"/>
      <c r="I58" s="199"/>
      <c r="J58" s="199"/>
      <c r="K58" s="199"/>
      <c r="L58" s="199"/>
      <c r="M58" s="200"/>
      <c r="N58" s="924"/>
      <c r="O58" s="924"/>
      <c r="P58" s="924"/>
    </row>
    <row r="59" spans="2:16" x14ac:dyDescent="0.25">
      <c r="B59" s="198"/>
      <c r="C59" s="199"/>
      <c r="D59" s="199"/>
      <c r="E59" s="199"/>
      <c r="F59" s="199"/>
      <c r="G59" s="199"/>
      <c r="H59" s="199"/>
      <c r="I59" s="199"/>
      <c r="J59" s="199"/>
      <c r="K59" s="199"/>
      <c r="L59" s="199"/>
      <c r="M59" s="200"/>
      <c r="N59" s="924"/>
      <c r="O59" s="924"/>
      <c r="P59" s="924"/>
    </row>
    <row r="60" spans="2:16" x14ac:dyDescent="0.25">
      <c r="B60" s="198"/>
      <c r="C60" s="199"/>
      <c r="D60" s="199"/>
      <c r="E60" s="199"/>
      <c r="F60" s="199"/>
      <c r="G60" s="199"/>
      <c r="H60" s="199"/>
      <c r="I60" s="199"/>
      <c r="J60" s="199"/>
      <c r="K60" s="199"/>
      <c r="L60" s="199"/>
      <c r="M60" s="200"/>
      <c r="N60" s="924"/>
      <c r="O60" s="924"/>
      <c r="P60" s="924"/>
    </row>
    <row r="61" spans="2:16" ht="12" thickBot="1" x14ac:dyDescent="0.3">
      <c r="B61" s="201"/>
      <c r="C61" s="202"/>
      <c r="D61" s="202"/>
      <c r="E61" s="202"/>
      <c r="F61" s="202"/>
      <c r="G61" s="202"/>
      <c r="H61" s="202"/>
      <c r="I61" s="202"/>
      <c r="J61" s="202"/>
      <c r="K61" s="202"/>
      <c r="L61" s="202"/>
      <c r="M61" s="203"/>
      <c r="N61" s="924"/>
      <c r="O61" s="924"/>
      <c r="P61" s="924"/>
    </row>
    <row r="62" spans="2:16" x14ac:dyDescent="0.25">
      <c r="B62" s="49"/>
      <c r="C62" s="49"/>
      <c r="D62" s="49"/>
      <c r="E62" s="49"/>
      <c r="F62" s="49"/>
      <c r="G62" s="49"/>
      <c r="H62" s="49"/>
      <c r="I62" s="49"/>
    </row>
    <row r="63" spans="2:16" x14ac:dyDescent="0.25">
      <c r="B63" s="49"/>
      <c r="C63" s="49"/>
      <c r="D63" s="49"/>
      <c r="E63" s="49"/>
      <c r="F63" s="49"/>
      <c r="G63" s="49"/>
      <c r="H63" s="49"/>
      <c r="I63" s="49"/>
    </row>
    <row r="64" spans="2:16" x14ac:dyDescent="0.25">
      <c r="B64" s="49"/>
      <c r="C64" s="49"/>
      <c r="D64" s="49"/>
      <c r="E64" s="49"/>
      <c r="F64" s="49"/>
      <c r="G64" s="49"/>
      <c r="H64" s="49"/>
      <c r="I64" s="49"/>
    </row>
    <row r="65" spans="2:9" x14ac:dyDescent="0.25">
      <c r="B65" s="50"/>
    </row>
    <row r="66" spans="2:9" x14ac:dyDescent="0.25">
      <c r="B66" s="41"/>
      <c r="C66" s="41"/>
      <c r="D66" s="41"/>
      <c r="E66" s="41"/>
      <c r="F66" s="41"/>
      <c r="G66" s="41"/>
      <c r="H66" s="41"/>
      <c r="I66" s="41"/>
    </row>
  </sheetData>
  <sheetProtection algorithmName="SHA-512" hashValue="SoLOoUQmtOVZ7pe4NOjwyCwUv3lOh6+us8/YF2sNAUBjCoTQ0weHFdzWLLQ4ZhSyTuAWm+/Ao9EfzMg5+xg3wg==" saltValue="Uwz9vNgvkhgbSL4gYdQI+g==" spinCount="100000" sheet="1" formatRows="0" insertColumns="0"/>
  <conditionalFormatting sqref="E13:E27">
    <cfRule type="expression" dxfId="4" priority="1">
      <formula>AND($D13="Ja",ROUND($C13,0)&lt;&gt;ROUND($M13,0))</formula>
    </cfRule>
  </conditionalFormatting>
  <pageMargins left="0.23622047244094491" right="0.23622047244094491" top="0.74803149606299213" bottom="0.74803149606299213" header="0.31496062992125984" footer="0.31496062992125984"/>
  <pageSetup paperSize="8" scale="86" fitToHeight="0" orientation="landscape" r:id="rId1"/>
  <headerFooter alignWithMargins="0">
    <oddFooter>&amp;R&amp;"Verdana,Standaard"pagina: &amp;P
aantal pagina's: &amp;N</oddFooter>
  </headerFooter>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53790436-5BFF-4A6C-A006-DDED5C8D2EE1}">
          <x14:formula1>
            <xm:f>Lijsten!$A$41:$A$42</xm:f>
          </x14:formula1>
          <xm:sqref>D13:D27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6">
    <tabColor rgb="FFFFFF00"/>
  </sheetPr>
  <dimension ref="A1:AT146"/>
  <sheetViews>
    <sheetView showGridLines="0" zoomScaleNormal="100" zoomScaleSheetLayoutView="100" workbookViewId="0">
      <selection activeCell="B28" sqref="B28"/>
    </sheetView>
  </sheetViews>
  <sheetFormatPr defaultColWidth="9.26953125" defaultRowHeight="11.5" x14ac:dyDescent="0.25"/>
  <cols>
    <col min="1" max="1" width="2.453125" style="14" customWidth="1"/>
    <col min="2" max="2" width="50.81640625" style="14" customWidth="1"/>
    <col min="3" max="18" width="14.7265625" style="14" customWidth="1"/>
    <col min="19" max="26" width="9.26953125" style="14" customWidth="1"/>
    <col min="27" max="34" width="9.26953125" style="14"/>
    <col min="35" max="45" width="9.26953125" style="14" customWidth="1"/>
    <col min="46" max="16384" width="9.26953125" style="14"/>
  </cols>
  <sheetData>
    <row r="1" spans="1:46" ht="18.5" x14ac:dyDescent="0.35">
      <c r="A1" s="32"/>
      <c r="B1" s="237" t="s">
        <v>344</v>
      </c>
      <c r="C1" s="238"/>
      <c r="D1" s="238"/>
      <c r="E1" s="238"/>
      <c r="F1" s="238"/>
      <c r="G1" s="238"/>
      <c r="H1" s="238"/>
      <c r="I1" s="238"/>
      <c r="J1" s="238"/>
      <c r="K1" s="238"/>
      <c r="L1" s="238"/>
      <c r="M1" s="239"/>
    </row>
    <row r="2" spans="1:46" ht="12.5" x14ac:dyDescent="0.25">
      <c r="A2" s="32"/>
      <c r="B2" s="181" t="s">
        <v>219</v>
      </c>
      <c r="C2" s="1161" t="str">
        <f>Project!B4</f>
        <v>[Dit veld vult RVO in]</v>
      </c>
      <c r="D2" s="1162"/>
      <c r="E2" s="1162"/>
      <c r="F2" s="1163"/>
      <c r="G2" s="240"/>
      <c r="H2" s="240"/>
      <c r="I2" s="240"/>
      <c r="J2" s="240"/>
      <c r="K2" s="240"/>
      <c r="L2" s="240"/>
      <c r="M2" s="241"/>
    </row>
    <row r="3" spans="1:46" ht="13" thickBot="1" x14ac:dyDescent="0.3">
      <c r="A3" s="32"/>
      <c r="B3" s="182" t="s">
        <v>345</v>
      </c>
      <c r="C3" s="1164">
        <f>Project!B7</f>
        <v>0</v>
      </c>
      <c r="D3" s="1165"/>
      <c r="E3" s="1165"/>
      <c r="F3" s="1166"/>
      <c r="G3" s="242"/>
      <c r="H3" s="242"/>
      <c r="I3" s="242"/>
      <c r="J3" s="242"/>
      <c r="K3" s="242"/>
      <c r="L3" s="242"/>
      <c r="M3" s="235"/>
    </row>
    <row r="4" spans="1:46" ht="12.75" customHeight="1" thickBot="1" x14ac:dyDescent="0.3"/>
    <row r="5" spans="1:46" ht="12.75" customHeight="1" thickBot="1" x14ac:dyDescent="0.3">
      <c r="A5" s="33"/>
      <c r="B5" s="883" t="s">
        <v>327</v>
      </c>
      <c r="C5" s="884"/>
      <c r="D5" s="884"/>
      <c r="E5" s="884"/>
      <c r="F5" s="884"/>
      <c r="G5" s="884"/>
      <c r="H5" s="884"/>
      <c r="I5" s="884"/>
      <c r="J5" s="884"/>
      <c r="K5" s="884"/>
      <c r="L5" s="884"/>
      <c r="M5" s="885"/>
      <c r="AT5"/>
    </row>
    <row r="6" spans="1:46" ht="12.75" customHeight="1" x14ac:dyDescent="0.25">
      <c r="B6" s="886" t="s">
        <v>346</v>
      </c>
      <c r="C6" s="887"/>
      <c r="D6" s="887"/>
      <c r="E6" s="887"/>
      <c r="F6" s="887"/>
      <c r="G6" s="887"/>
      <c r="H6" s="887"/>
      <c r="I6" s="887"/>
      <c r="J6" s="887"/>
      <c r="K6" s="887"/>
      <c r="L6" s="887"/>
      <c r="M6" s="888"/>
      <c r="AT6"/>
    </row>
    <row r="7" spans="1:46" ht="12.75" customHeight="1" x14ac:dyDescent="0.25">
      <c r="B7" s="889" t="s">
        <v>347</v>
      </c>
      <c r="C7" s="887"/>
      <c r="D7" s="887"/>
      <c r="E7" s="887"/>
      <c r="F7" s="887"/>
      <c r="G7" s="887"/>
      <c r="H7" s="887"/>
      <c r="I7" s="887"/>
      <c r="J7" s="887"/>
      <c r="K7" s="887"/>
      <c r="L7" s="887"/>
      <c r="M7" s="888"/>
      <c r="AT7"/>
    </row>
    <row r="8" spans="1:46" ht="12.75" customHeight="1" x14ac:dyDescent="0.25">
      <c r="B8" s="890" t="s">
        <v>348</v>
      </c>
      <c r="C8" s="887"/>
      <c r="D8" s="887"/>
      <c r="E8" s="887"/>
      <c r="F8" s="887"/>
      <c r="G8" s="887"/>
      <c r="H8" s="887"/>
      <c r="I8" s="887"/>
      <c r="J8" s="887"/>
      <c r="K8" s="887"/>
      <c r="L8" s="887"/>
      <c r="M8" s="888"/>
      <c r="AT8"/>
    </row>
    <row r="9" spans="1:46" ht="12.75" customHeight="1" x14ac:dyDescent="0.25">
      <c r="B9" s="890" t="s">
        <v>349</v>
      </c>
      <c r="C9" s="887"/>
      <c r="D9" s="887"/>
      <c r="E9" s="887"/>
      <c r="F9" s="887"/>
      <c r="G9" s="887"/>
      <c r="H9" s="887"/>
      <c r="I9" s="887"/>
      <c r="J9" s="887"/>
      <c r="K9" s="887"/>
      <c r="L9" s="887"/>
      <c r="M9" s="888"/>
      <c r="AT9"/>
    </row>
    <row r="10" spans="1:46" ht="12.75" customHeight="1" x14ac:dyDescent="0.25">
      <c r="B10" s="890" t="s">
        <v>350</v>
      </c>
      <c r="C10" s="887"/>
      <c r="D10" s="887"/>
      <c r="E10" s="887"/>
      <c r="F10" s="887"/>
      <c r="G10" s="887"/>
      <c r="H10" s="887"/>
      <c r="I10" s="887"/>
      <c r="J10" s="887"/>
      <c r="K10" s="887"/>
      <c r="L10" s="887"/>
      <c r="M10" s="888"/>
      <c r="AT10"/>
    </row>
    <row r="11" spans="1:46" ht="12.75" customHeight="1" x14ac:dyDescent="0.25">
      <c r="B11" s="890" t="s">
        <v>351</v>
      </c>
      <c r="C11" s="887"/>
      <c r="D11" s="887"/>
      <c r="E11" s="887"/>
      <c r="F11" s="887"/>
      <c r="G11" s="887"/>
      <c r="H11" s="887"/>
      <c r="I11" s="887"/>
      <c r="J11" s="887"/>
      <c r="K11" s="887"/>
      <c r="L11" s="887"/>
      <c r="M11" s="888"/>
      <c r="AT11"/>
    </row>
    <row r="12" spans="1:46" ht="12.75" customHeight="1" x14ac:dyDescent="0.25">
      <c r="B12" s="890" t="s">
        <v>352</v>
      </c>
      <c r="C12" s="887"/>
      <c r="D12" s="887"/>
      <c r="E12" s="887"/>
      <c r="F12" s="887"/>
      <c r="G12" s="887"/>
      <c r="H12" s="887"/>
      <c r="I12" s="887"/>
      <c r="J12" s="887"/>
      <c r="K12" s="887"/>
      <c r="L12" s="887"/>
      <c r="M12" s="888"/>
      <c r="AT12"/>
    </row>
    <row r="13" spans="1:46" ht="12.75" customHeight="1" x14ac:dyDescent="0.25">
      <c r="B13" s="890" t="s">
        <v>353</v>
      </c>
      <c r="C13" s="887"/>
      <c r="D13" s="887"/>
      <c r="E13" s="887"/>
      <c r="F13" s="887"/>
      <c r="G13" s="887"/>
      <c r="H13" s="887"/>
      <c r="I13" s="887"/>
      <c r="J13" s="887"/>
      <c r="K13" s="887"/>
      <c r="L13" s="887"/>
      <c r="M13" s="888"/>
      <c r="AT13"/>
    </row>
    <row r="14" spans="1:46" ht="12.75" customHeight="1" x14ac:dyDescent="0.25">
      <c r="B14" s="890" t="s">
        <v>354</v>
      </c>
      <c r="C14" s="887"/>
      <c r="D14" s="887"/>
      <c r="E14" s="887"/>
      <c r="F14" s="887"/>
      <c r="G14" s="887"/>
      <c r="H14" s="887"/>
      <c r="I14" s="887"/>
      <c r="J14" s="887"/>
      <c r="K14" s="887"/>
      <c r="L14" s="887"/>
      <c r="M14" s="888"/>
      <c r="AT14"/>
    </row>
    <row r="15" spans="1:46" ht="12.75" customHeight="1" x14ac:dyDescent="0.25">
      <c r="B15" s="890"/>
      <c r="C15" s="887"/>
      <c r="D15" s="887"/>
      <c r="E15" s="887"/>
      <c r="F15" s="887"/>
      <c r="G15" s="887"/>
      <c r="H15" s="887"/>
      <c r="I15" s="887"/>
      <c r="J15" s="887"/>
      <c r="K15" s="887"/>
      <c r="L15" s="887"/>
      <c r="M15" s="888"/>
      <c r="AT15"/>
    </row>
    <row r="16" spans="1:46" ht="12.75" customHeight="1" x14ac:dyDescent="0.25">
      <c r="B16" s="889" t="s">
        <v>355</v>
      </c>
      <c r="C16" s="887"/>
      <c r="D16" s="887"/>
      <c r="E16" s="887"/>
      <c r="F16" s="887"/>
      <c r="G16" s="887"/>
      <c r="H16" s="887"/>
      <c r="I16" s="887"/>
      <c r="J16" s="887"/>
      <c r="K16" s="887"/>
      <c r="L16" s="887"/>
      <c r="M16" s="888"/>
      <c r="AT16"/>
    </row>
    <row r="17" spans="1:46" ht="12.75" customHeight="1" x14ac:dyDescent="0.25">
      <c r="B17" s="890" t="s">
        <v>356</v>
      </c>
      <c r="C17" s="887"/>
      <c r="D17" s="887"/>
      <c r="E17" s="887"/>
      <c r="F17" s="887"/>
      <c r="G17" s="887"/>
      <c r="H17" s="887"/>
      <c r="I17" s="887"/>
      <c r="J17" s="887"/>
      <c r="K17" s="887"/>
      <c r="L17" s="887"/>
      <c r="M17" s="888"/>
      <c r="AT17"/>
    </row>
    <row r="18" spans="1:46" ht="12.75" customHeight="1" x14ac:dyDescent="0.25">
      <c r="B18" s="886" t="s">
        <v>357</v>
      </c>
      <c r="C18" s="887"/>
      <c r="D18" s="887"/>
      <c r="E18" s="887"/>
      <c r="F18" s="887"/>
      <c r="G18" s="887"/>
      <c r="H18" s="887"/>
      <c r="I18" s="887"/>
      <c r="J18" s="887"/>
      <c r="K18" s="887"/>
      <c r="L18" s="887"/>
      <c r="M18" s="888"/>
      <c r="AT18"/>
    </row>
    <row r="19" spans="1:46" ht="12.75" customHeight="1" x14ac:dyDescent="0.25">
      <c r="B19" s="890" t="s">
        <v>358</v>
      </c>
      <c r="C19" s="887"/>
      <c r="D19" s="887"/>
      <c r="E19" s="887"/>
      <c r="F19" s="887"/>
      <c r="G19" s="887"/>
      <c r="H19" s="887"/>
      <c r="I19" s="887"/>
      <c r="J19" s="887"/>
      <c r="K19" s="887"/>
      <c r="L19" s="887"/>
      <c r="M19" s="888"/>
      <c r="AT19"/>
    </row>
    <row r="20" spans="1:46" ht="12.75" customHeight="1" x14ac:dyDescent="0.25">
      <c r="B20" s="890" t="s">
        <v>359</v>
      </c>
      <c r="C20" s="887"/>
      <c r="D20" s="887"/>
      <c r="E20" s="887"/>
      <c r="F20" s="887"/>
      <c r="G20" s="887"/>
      <c r="H20" s="887"/>
      <c r="I20" s="887"/>
      <c r="J20" s="887"/>
      <c r="K20" s="887"/>
      <c r="L20" s="887"/>
      <c r="M20" s="888"/>
      <c r="AT20"/>
    </row>
    <row r="21" spans="1:46" ht="12.75" customHeight="1" thickBot="1" x14ac:dyDescent="0.3">
      <c r="B21" s="891"/>
      <c r="C21" s="892"/>
      <c r="D21" s="892"/>
      <c r="E21" s="892"/>
      <c r="F21" s="892"/>
      <c r="G21" s="892"/>
      <c r="H21" s="892"/>
      <c r="I21" s="892"/>
      <c r="J21" s="892"/>
      <c r="K21" s="892"/>
      <c r="L21" s="892"/>
      <c r="M21" s="893"/>
      <c r="AT21"/>
    </row>
    <row r="22" spans="1:46" ht="12.5" x14ac:dyDescent="0.25">
      <c r="A22" s="33"/>
      <c r="B22" s="223" t="s">
        <v>244</v>
      </c>
      <c r="C22" s="388">
        <v>1</v>
      </c>
      <c r="D22" s="388">
        <v>2</v>
      </c>
      <c r="E22" s="388">
        <v>3</v>
      </c>
      <c r="F22" s="388">
        <v>4</v>
      </c>
      <c r="G22" s="388">
        <v>5</v>
      </c>
      <c r="H22" s="388">
        <v>6</v>
      </c>
      <c r="I22" s="388">
        <v>7</v>
      </c>
      <c r="J22" s="388">
        <v>8</v>
      </c>
      <c r="K22" s="388">
        <v>9</v>
      </c>
      <c r="L22" s="388">
        <v>10</v>
      </c>
      <c r="M22" s="388">
        <v>11</v>
      </c>
      <c r="N22" s="388">
        <v>12</v>
      </c>
      <c r="O22" s="388">
        <v>13</v>
      </c>
      <c r="P22" s="388">
        <v>14</v>
      </c>
      <c r="Q22" s="388">
        <v>15</v>
      </c>
      <c r="R22" s="224" t="s">
        <v>287</v>
      </c>
      <c r="AT22"/>
    </row>
    <row r="23" spans="1:46" ht="12.5" x14ac:dyDescent="0.25">
      <c r="A23" s="33"/>
      <c r="B23" s="13"/>
      <c r="C23" s="1003">
        <f>SUMIFS(Begroting!$Q$18:$Q$172,Begroting!$B$18:$B$172,COUNTA($C$22:C22))</f>
        <v>0</v>
      </c>
      <c r="D23" s="1003">
        <f>SUMIFS(Begroting!$Q$18:$Q$172,Begroting!$B$18:$B$172,COUNTA($C$22:D22))</f>
        <v>0</v>
      </c>
      <c r="E23" s="1003">
        <f>SUMIFS(Begroting!$Q$18:$Q$172,Begroting!$B$18:$B$172,COUNTA($C$22:E22))</f>
        <v>0</v>
      </c>
      <c r="F23" s="1003">
        <f>SUMIFS(Begroting!$Q$18:$Q$172,Begroting!$B$18:$B$172,COUNTA($C$22:F22))</f>
        <v>0</v>
      </c>
      <c r="G23" s="1003">
        <f>SUMIFS(Begroting!$Q$18:$Q$172,Begroting!$B$18:$B$172,COUNTA($C$22:G22))</f>
        <v>0</v>
      </c>
      <c r="H23" s="1003">
        <f>SUMIFS(Begroting!$Q$18:$Q$172,Begroting!$B$18:$B$172,COUNTA($C$22:H22))</f>
        <v>0</v>
      </c>
      <c r="I23" s="1003">
        <f>SUMIFS(Begroting!$Q$18:$Q$172,Begroting!$B$18:$B$172,COUNTA($C$22:I22))</f>
        <v>0</v>
      </c>
      <c r="J23" s="1003">
        <f>SUMIFS(Begroting!$Q$18:$Q$172,Begroting!$B$18:$B$172,COUNTA($C$22:J22))</f>
        <v>0</v>
      </c>
      <c r="K23" s="1003">
        <f>SUMIFS(Begroting!$Q$18:$Q$172,Begroting!$B$18:$B$172,COUNTA($C$22:K22))</f>
        <v>0</v>
      </c>
      <c r="L23" s="1003">
        <f>SUMIFS(Begroting!$Q$18:$Q$172,Begroting!$B$18:$B$172,COUNTA($C$22:L22))</f>
        <v>0</v>
      </c>
      <c r="M23" s="1003">
        <f>SUMIFS(Begroting!$Q$18:$Q$172,Begroting!$B$18:$B$172,COUNTA($C$22:M22))</f>
        <v>0</v>
      </c>
      <c r="N23" s="1003">
        <f>SUMIFS(Begroting!$Q$18:$Q$172,Begroting!$B$18:$B$172,COUNTA($C$22:N22))</f>
        <v>0</v>
      </c>
      <c r="O23" s="1003">
        <f>SUMIFS(Begroting!$Q$18:$Q$172,Begroting!$B$18:$B$172,COUNTA($C$22:O22))</f>
        <v>0</v>
      </c>
      <c r="P23" s="1003">
        <f>SUMIFS(Begroting!$Q$18:$Q$172,Begroting!$B$18:$B$172,COUNTA($C$22:P22))</f>
        <v>0</v>
      </c>
      <c r="Q23" s="1003">
        <f>SUMIFS(Begroting!$Q$18:$Q$172,Begroting!$B$18:$B$172,COUNTA($C$22:Q22))</f>
        <v>0</v>
      </c>
      <c r="R23" s="1003">
        <f>SUM(C23:Q23)</f>
        <v>0</v>
      </c>
      <c r="AT23"/>
    </row>
    <row r="24" spans="1:46" ht="12.5" x14ac:dyDescent="0.25">
      <c r="A24" s="33"/>
      <c r="B24" s="236" t="s">
        <v>360</v>
      </c>
      <c r="C24" s="1091">
        <f>Startdatum</f>
        <v>0</v>
      </c>
      <c r="D24" s="1092"/>
      <c r="E24" s="1092"/>
      <c r="F24" s="1092"/>
      <c r="G24" s="1092"/>
      <c r="H24" s="1092"/>
      <c r="I24" s="1092"/>
      <c r="J24" s="1092"/>
      <c r="K24" s="1092"/>
      <c r="L24" s="1092"/>
      <c r="M24" s="1092"/>
      <c r="N24" s="1092"/>
      <c r="O24" s="1092"/>
      <c r="P24" s="1092"/>
      <c r="Q24" s="1092"/>
      <c r="R24" s="225"/>
      <c r="S24" s="75"/>
      <c r="AT24"/>
    </row>
    <row r="25" spans="1:46" ht="12.5" x14ac:dyDescent="0.25">
      <c r="A25" s="33"/>
      <c r="B25" s="236" t="s">
        <v>361</v>
      </c>
      <c r="C25" s="1092"/>
      <c r="D25" s="1092"/>
      <c r="E25" s="1092"/>
      <c r="F25" s="1092"/>
      <c r="G25" s="1092"/>
      <c r="H25" s="1092"/>
      <c r="I25" s="1092"/>
      <c r="J25" s="1092"/>
      <c r="K25" s="1092"/>
      <c r="L25" s="1092"/>
      <c r="M25" s="1092"/>
      <c r="N25" s="1092"/>
      <c r="O25" s="1092"/>
      <c r="P25" s="1092"/>
      <c r="Q25" s="1092"/>
      <c r="R25" s="1093"/>
      <c r="S25" s="34"/>
      <c r="AT25"/>
    </row>
    <row r="26" spans="1:46" ht="12.5" hidden="1" x14ac:dyDescent="0.25">
      <c r="A26" s="33"/>
      <c r="B26" s="236" t="s">
        <v>362</v>
      </c>
      <c r="C26" s="502" t="e">
        <f>0.9*Begroting!$Q$212/Begroting!$Q$175*C23</f>
        <v>#DIV/0!</v>
      </c>
      <c r="D26" s="502" t="e">
        <f>0.9*Begroting!$Q$212/Begroting!$Q$175*D23</f>
        <v>#DIV/0!</v>
      </c>
      <c r="E26" s="502" t="e">
        <f>0.9*Begroting!$Q$212/Begroting!$Q$175*E23</f>
        <v>#DIV/0!</v>
      </c>
      <c r="F26" s="502" t="e">
        <f>0.9*Begroting!$Q$212/Begroting!$Q$175*F23</f>
        <v>#DIV/0!</v>
      </c>
      <c r="G26" s="502" t="e">
        <f>0.9*Begroting!$Q$212/Begroting!$Q$175*G23</f>
        <v>#DIV/0!</v>
      </c>
      <c r="H26" s="502" t="e">
        <f>0.9*Begroting!$Q$212/Begroting!$Q$175*H23</f>
        <v>#DIV/0!</v>
      </c>
      <c r="I26" s="502" t="e">
        <f>0.9*Begroting!$Q$212/Begroting!$Q$175*I23</f>
        <v>#DIV/0!</v>
      </c>
      <c r="J26" s="502" t="e">
        <f>0.9*Begroting!$Q$212/Begroting!$Q$175*J23</f>
        <v>#DIV/0!</v>
      </c>
      <c r="K26" s="502" t="e">
        <f>0.9*Begroting!$Q$212/Begroting!$Q$175*K23</f>
        <v>#DIV/0!</v>
      </c>
      <c r="L26" s="502" t="e">
        <f>0.9*Begroting!$Q$212/Begroting!$Q$175*L23</f>
        <v>#DIV/0!</v>
      </c>
      <c r="M26" s="502" t="e">
        <f>0.9*Begroting!$Q$212/Begroting!$Q$175*M23</f>
        <v>#DIV/0!</v>
      </c>
      <c r="N26" s="502" t="e">
        <f>0.9*Begroting!$Q$212/Begroting!$Q$175*N23</f>
        <v>#DIV/0!</v>
      </c>
      <c r="O26" s="502" t="e">
        <f>0.9*Begroting!$Q$212/Begroting!$Q$175*O23</f>
        <v>#DIV/0!</v>
      </c>
      <c r="P26" s="502" t="e">
        <f>0.9*Begroting!$Q$212/Begroting!$Q$175*P23</f>
        <v>#DIV/0!</v>
      </c>
      <c r="Q26" s="502" t="e">
        <f>0.9*Begroting!$Q$212/Begroting!$Q$175*Q23</f>
        <v>#DIV/0!</v>
      </c>
      <c r="R26" s="226"/>
      <c r="S26" s="34"/>
      <c r="AT26"/>
    </row>
    <row r="27" spans="1:46" ht="12.5" x14ac:dyDescent="0.25">
      <c r="A27" s="33"/>
      <c r="B27" s="497" t="str">
        <f>IF(R30=Begroting!Q175,"","Let op, niet alle posten in het tabblad 'Begroting' zijn gekoppeld aan een mijlpaal. Controleer of alle mijlpalen zijn ingevuld.")</f>
        <v/>
      </c>
      <c r="C27" s="386"/>
      <c r="D27" s="386"/>
      <c r="E27" s="386"/>
      <c r="F27" s="386"/>
      <c r="G27" s="386"/>
      <c r="H27" s="498"/>
      <c r="I27" s="386"/>
      <c r="L27" s="386"/>
      <c r="M27" s="386"/>
      <c r="N27" s="386"/>
      <c r="O27" s="386"/>
      <c r="P27" s="386"/>
      <c r="Q27" s="386"/>
      <c r="R27" s="387"/>
      <c r="S27" s="34"/>
      <c r="AT27"/>
    </row>
    <row r="28" spans="1:46" ht="12.5" x14ac:dyDescent="0.25">
      <c r="A28" s="33"/>
      <c r="B28" s="500" t="str">
        <f>IF(MAX(C25:Q25)&lt;&gt;Einddatum,"Let op, de einddatum van de laatste mijlpaal komt niet overeen met de einddatum uit tabblad 'Project'. Deze datums moeten gelijk zijn.","")</f>
        <v/>
      </c>
      <c r="C28" s="386"/>
      <c r="D28" s="386"/>
      <c r="E28" s="386"/>
      <c r="F28" s="386"/>
      <c r="G28" s="386"/>
      <c r="H28" s="498"/>
      <c r="I28" s="386"/>
      <c r="J28" s="499"/>
      <c r="L28" s="386"/>
      <c r="M28" s="386"/>
      <c r="N28" s="386"/>
      <c r="O28" s="386"/>
      <c r="P28" s="386"/>
      <c r="Q28" s="386"/>
      <c r="R28" s="387"/>
      <c r="S28" s="34"/>
      <c r="AT28"/>
    </row>
    <row r="29" spans="1:46" ht="12.75" customHeight="1" x14ac:dyDescent="0.25">
      <c r="A29" s="33"/>
      <c r="B29" s="223" t="s">
        <v>363</v>
      </c>
      <c r="C29" s="1127">
        <f>'ORT Berekening'!J5</f>
        <v>1900</v>
      </c>
      <c r="D29" s="388" t="str">
        <f>IF('ORT Berekening'!K5&lt;=YEAR(Einddatum),'ORT Berekening'!K5,"")</f>
        <v/>
      </c>
      <c r="E29" s="388" t="str">
        <f>IF('ORT Berekening'!L5&lt;=YEAR(Einddatum),'ORT Berekening'!L5,"")</f>
        <v/>
      </c>
      <c r="F29" s="388" t="str">
        <f>IF('ORT Berekening'!M5&lt;=YEAR(Einddatum),'ORT Berekening'!M5,"")</f>
        <v/>
      </c>
      <c r="G29" s="388" t="str">
        <f>IF('ORT Berekening'!N5&lt;=YEAR(Einddatum),'ORT Berekening'!N5,"")</f>
        <v/>
      </c>
      <c r="H29" s="388" t="str">
        <f>IF('ORT Berekening'!O5&lt;=YEAR(Einddatum),'ORT Berekening'!O5,"")</f>
        <v/>
      </c>
      <c r="I29" s="388" t="str">
        <f>IF('ORT Berekening'!P5&lt;=YEAR(Einddatum),'ORT Berekening'!P5,"")</f>
        <v/>
      </c>
      <c r="J29" s="388" t="str">
        <f>IF('ORT Berekening'!Q5&lt;=YEAR(Einddatum),'ORT Berekening'!Q5,"")</f>
        <v/>
      </c>
      <c r="K29" s="388" t="str">
        <f>IF('ORT Berekening'!R5&lt;=YEAR(Einddatum),'ORT Berekening'!R5,"")</f>
        <v/>
      </c>
      <c r="L29" s="388" t="str">
        <f>IF('ORT Berekening'!S5&lt;=YEAR(Einddatum),'ORT Berekening'!S5,"")</f>
        <v/>
      </c>
      <c r="M29" s="388" t="str">
        <f>IF('ORT Berekening'!T5&lt;=YEAR(Einddatum),'ORT Berekening'!T5,"")</f>
        <v/>
      </c>
      <c r="N29" s="388" t="str">
        <f>IF('ORT Berekening'!U5&lt;=YEAR(Einddatum),'ORT Berekening'!U5,"")</f>
        <v/>
      </c>
      <c r="O29" s="388" t="str">
        <f>IF('ORT Berekening'!V5&lt;=YEAR(Einddatum),'ORT Berekening'!V5,"")</f>
        <v/>
      </c>
      <c r="P29" s="388" t="str">
        <f>IF('ORT Berekening'!W5&lt;=YEAR(Einddatum),'ORT Berekening'!W5,"")</f>
        <v/>
      </c>
      <c r="Q29" s="388" t="str">
        <f>IF('ORT Berekening'!X5&lt;=YEAR(Einddatum),'ORT Berekening'!X5,"")</f>
        <v/>
      </c>
      <c r="R29" s="224" t="s">
        <v>287</v>
      </c>
      <c r="S29" s="178" t="str">
        <f>IF('ORT Berekening'!U5&lt;=YEAR(Einddatum),'ORT Berekening'!U5,IF(ISNUMBER(R29),"Totaal",""))</f>
        <v/>
      </c>
      <c r="T29" s="178" t="str">
        <f>IF('ORT Berekening'!V5&lt;=YEAR(Einddatum),'ORT Berekening'!V5,IF(ISNUMBER(S29),"Totaal",""))</f>
        <v/>
      </c>
      <c r="U29" s="178" t="str">
        <f>IF('ORT Berekening'!W5&lt;=YEAR(Einddatum),'ORT Berekening'!W5,IF(ISNUMBER(T29),"Totaal",""))</f>
        <v/>
      </c>
      <c r="V29" s="178" t="str">
        <f>IF('ORT Berekening'!X5&lt;=YEAR(Einddatum),'ORT Berekening'!X5,IF(ISNUMBER(U29),"Totaal",""))</f>
        <v/>
      </c>
      <c r="W29" s="178" t="str">
        <f>IF('ORT Berekening'!Y5&lt;=YEAR(Einddatum),'ORT Berekening'!Y5,IF(ISNUMBER(V29),"Totaal",""))</f>
        <v/>
      </c>
      <c r="X29" s="178" t="str">
        <f>IF('ORT Berekening'!Z5&lt;=YEAR(Einddatum),'ORT Berekening'!Z5,IF(ISNUMBER(W29),"Totaal",""))</f>
        <v/>
      </c>
      <c r="Y29" s="178" t="str">
        <f>IF('ORT Berekening'!AA5&lt;=YEAR(Einddatum),'ORT Berekening'!AA5,IF(ISNUMBER(X29),"Totaal",""))</f>
        <v/>
      </c>
      <c r="Z29" s="178" t="str">
        <f>IF('ORT Berekening'!AB5&lt;=YEAR(Einddatum),'ORT Berekening'!AB5,IF(ISNUMBER(Y29),"Totaal",""))</f>
        <v/>
      </c>
      <c r="AT29"/>
    </row>
    <row r="30" spans="1:46" ht="12.75" customHeight="1" x14ac:dyDescent="0.25">
      <c r="A30" s="33"/>
      <c r="B30" s="236" t="s">
        <v>364</v>
      </c>
      <c r="C30" s="502">
        <f>'Mijlpaal Berekening'!C83</f>
        <v>0</v>
      </c>
      <c r="D30" s="502" t="str">
        <f>IF(D29&lt;&gt;"",'Mijlpaal Berekening'!D83,"")</f>
        <v/>
      </c>
      <c r="E30" s="502" t="str">
        <f>IF(E29&lt;&gt;"",'Mijlpaal Berekening'!E83,"")</f>
        <v/>
      </c>
      <c r="F30" s="502" t="str">
        <f>IF(F29&lt;&gt;"",'Mijlpaal Berekening'!F83,"")</f>
        <v/>
      </c>
      <c r="G30" s="502" t="str">
        <f>IF(G29&lt;&gt;"",'Mijlpaal Berekening'!G83,"")</f>
        <v/>
      </c>
      <c r="H30" s="502" t="str">
        <f>IF(H29&lt;&gt;"",'Mijlpaal Berekening'!H83,"")</f>
        <v/>
      </c>
      <c r="I30" s="502" t="str">
        <f>IF(I29&lt;&gt;"",'Mijlpaal Berekening'!I83,"")</f>
        <v/>
      </c>
      <c r="J30" s="502" t="str">
        <f>IF(J29&lt;&gt;"",'Mijlpaal Berekening'!J83,"")</f>
        <v/>
      </c>
      <c r="K30" s="388" t="str">
        <f>IF(K29&lt;&gt;"",'Mijlpaal Berekening'!K83,"")</f>
        <v/>
      </c>
      <c r="L30" s="388"/>
      <c r="M30" s="388"/>
      <c r="N30" s="388"/>
      <c r="O30" s="388"/>
      <c r="P30" s="388"/>
      <c r="Q30" s="388"/>
      <c r="R30" s="1003">
        <f>SUM(C30:Q30)</f>
        <v>0</v>
      </c>
      <c r="S30" s="75"/>
      <c r="T30" s="252" t="str">
        <f>IF('ORT Berekening'!V5&lt;=YEAR(Einddatum),'ORT Berekening'!V110,IF(ISNUMBER(S29),TEXT(SUM($C$30:S30),"0.00"),""))</f>
        <v/>
      </c>
      <c r="U30" s="252" t="str">
        <f>IF('ORT Berekening'!W5&lt;=YEAR(Einddatum),'ORT Berekening'!W110,IF(ISNUMBER(T29),TEXT(SUM($C$30:T30),"0.00"),""))</f>
        <v/>
      </c>
      <c r="V30" s="252" t="str">
        <f>IF('ORT Berekening'!X5&lt;=YEAR(Einddatum),'ORT Berekening'!X110,IF(ISNUMBER(U29),TEXT(SUM($C$30:U30),"0.00"),""))</f>
        <v/>
      </c>
      <c r="W30" s="252" t="str">
        <f>IF('ORT Berekening'!Y5&lt;=YEAR(Einddatum),'ORT Berekening'!Y110,IF(ISNUMBER(V29),TEXT(SUM($C$30:V30),"0.00"),""))</f>
        <v/>
      </c>
      <c r="X30" s="252" t="str">
        <f>IF('ORT Berekening'!Z5&lt;=YEAR(Einddatum),'ORT Berekening'!Z110,IF(ISNUMBER(W29),TEXT(SUM($C$30:W30),"0.00"),""))</f>
        <v/>
      </c>
      <c r="Y30" s="252" t="str">
        <f>IF('ORT Berekening'!AA5&lt;=YEAR(Einddatum),'ORT Berekening'!AA110,IF(ISNUMBER(X29),TEXT(SUM($C$30:X30),"0.00"),""))</f>
        <v/>
      </c>
      <c r="Z30" s="252" t="str">
        <f>IF('ORT Berekening'!AB5&lt;=YEAR(Einddatum),'ORT Berekening'!AB110,IF(ISNUMBER(Y29),TEXT(SUM($C$30:Y30),"0.00"),""))</f>
        <v/>
      </c>
      <c r="AT30"/>
    </row>
    <row r="31" spans="1:46" ht="12.75" customHeight="1" x14ac:dyDescent="0.25">
      <c r="A31" s="33"/>
      <c r="B31" s="236" t="s">
        <v>365</v>
      </c>
      <c r="C31" s="501">
        <f>SUM('ORT aansluitingen'!I20:I49)</f>
        <v>0</v>
      </c>
      <c r="D31" s="501" t="str">
        <f>IF(D29&lt;&gt;"",SUM('ORT aansluitingen'!J20:J49),"")</f>
        <v/>
      </c>
      <c r="E31" s="501" t="str">
        <f>IF(E29&lt;&gt;"",SUM('ORT aansluitingen'!K20:K49),"")</f>
        <v/>
      </c>
      <c r="F31" s="501" t="str">
        <f>IF(F29&lt;&gt;"",SUM('ORT aansluitingen'!L20:L49),"")</f>
        <v/>
      </c>
      <c r="G31" s="501" t="str">
        <f>IF(G29&lt;&gt;"",SUM('ORT aansluitingen'!M20:M49),"")</f>
        <v/>
      </c>
      <c r="H31" s="501" t="str">
        <f>IF(H29&lt;&gt;"",SUM('ORT aansluitingen'!N20:N49),"")</f>
        <v/>
      </c>
      <c r="I31" s="501" t="str">
        <f>IF(I29&lt;&gt;"",SUM('ORT aansluitingen'!O20:O49),"")</f>
        <v/>
      </c>
      <c r="J31" s="501" t="str">
        <f>IF(J29&lt;&gt;"",SUM('ORT aansluitingen'!P20:P49),"")</f>
        <v/>
      </c>
      <c r="K31" s="388" t="str">
        <f>IF(K29&lt;&gt;"",SUM('ORT aansluitingen'!Q20:Q49),"")</f>
        <v/>
      </c>
      <c r="L31" s="388"/>
      <c r="M31" s="388"/>
      <c r="N31" s="388"/>
      <c r="O31" s="388"/>
      <c r="P31" s="388"/>
      <c r="Q31" s="388"/>
      <c r="R31" s="501">
        <f>SUM(C31:Q31)</f>
        <v>0</v>
      </c>
      <c r="S31" s="75"/>
      <c r="AT31"/>
    </row>
    <row r="32" spans="1:46" ht="12.75" customHeight="1" x14ac:dyDescent="0.25">
      <c r="A32" s="33"/>
      <c r="B32" s="849" t="s">
        <v>366</v>
      </c>
      <c r="C32" s="178"/>
      <c r="D32" s="178"/>
      <c r="E32" s="178"/>
      <c r="F32" s="178"/>
      <c r="G32" s="178"/>
      <c r="H32" s="178"/>
      <c r="I32" s="178"/>
      <c r="J32" s="178"/>
      <c r="K32" s="178"/>
      <c r="L32" s="178"/>
      <c r="N32" s="75"/>
      <c r="AT32"/>
    </row>
    <row r="33" spans="1:46" ht="12.5" x14ac:dyDescent="0.25">
      <c r="A33" s="33"/>
      <c r="C33" s="33"/>
      <c r="D33" s="33"/>
      <c r="E33" s="33"/>
      <c r="F33" s="33"/>
      <c r="G33" s="33"/>
      <c r="H33" s="33"/>
      <c r="I33" s="33"/>
      <c r="J33" s="33"/>
      <c r="K33" s="33"/>
      <c r="L33" s="33"/>
      <c r="M33" s="33"/>
      <c r="AT33"/>
    </row>
    <row r="34" spans="1:46" ht="12.5" x14ac:dyDescent="0.25">
      <c r="A34" s="33"/>
      <c r="B34" s="35" t="s">
        <v>367</v>
      </c>
      <c r="C34" s="36"/>
      <c r="D34" s="37"/>
      <c r="E34" s="38"/>
      <c r="F34" s="36"/>
      <c r="G34" s="36"/>
      <c r="H34" s="36"/>
      <c r="I34" s="36"/>
      <c r="J34" s="36"/>
      <c r="K34" s="36"/>
      <c r="L34" s="36"/>
      <c r="M34" s="39"/>
      <c r="R34" s="724"/>
      <c r="S34" s="75"/>
      <c r="AT34"/>
    </row>
    <row r="35" spans="1:46" ht="12.5" x14ac:dyDescent="0.25">
      <c r="A35" s="33"/>
      <c r="B35" s="849" t="s">
        <v>368</v>
      </c>
      <c r="Q35" s="511"/>
      <c r="R35" s="724"/>
      <c r="S35" s="75"/>
      <c r="AT35"/>
    </row>
    <row r="36" spans="1:46" ht="13" thickBot="1" x14ac:dyDescent="0.3">
      <c r="A36" s="33"/>
      <c r="C36" s="1170"/>
      <c r="D36" s="1170"/>
      <c r="E36" s="1170"/>
      <c r="F36" s="1170"/>
      <c r="G36" s="1170"/>
      <c r="H36" s="1170"/>
      <c r="I36" s="1170"/>
      <c r="J36" s="1170"/>
      <c r="K36" s="1170"/>
      <c r="L36" s="1170"/>
      <c r="M36" s="1170"/>
      <c r="R36" s="75"/>
      <c r="S36" s="75"/>
      <c r="AT36"/>
    </row>
    <row r="37" spans="1:46" ht="13.5" thickBot="1" x14ac:dyDescent="0.35">
      <c r="A37" s="33"/>
      <c r="B37" s="1030" t="s">
        <v>369</v>
      </c>
      <c r="C37" s="1167" t="s">
        <v>370</v>
      </c>
      <c r="D37" s="1168"/>
      <c r="E37" s="1168"/>
      <c r="F37" s="1168"/>
      <c r="G37" s="1168"/>
      <c r="H37" s="1168"/>
      <c r="I37" s="1168"/>
      <c r="J37" s="1168"/>
      <c r="K37" s="1168"/>
      <c r="L37" s="1168"/>
      <c r="M37" s="1169"/>
      <c r="S37" s="75"/>
      <c r="AT37"/>
    </row>
    <row r="38" spans="1:46" ht="11.25" customHeight="1" x14ac:dyDescent="0.25">
      <c r="A38" s="33"/>
      <c r="B38" s="850" t="s">
        <v>371</v>
      </c>
      <c r="C38" s="1031"/>
      <c r="D38" s="1031"/>
      <c r="E38" s="1031"/>
      <c r="F38" s="1031"/>
      <c r="G38" s="1031"/>
      <c r="H38" s="1031"/>
      <c r="I38" s="1031"/>
      <c r="J38" s="1031"/>
      <c r="K38" s="1031"/>
      <c r="L38" s="1031"/>
      <c r="M38" s="1032"/>
      <c r="AT38"/>
    </row>
    <row r="39" spans="1:46" ht="11.25" customHeight="1" x14ac:dyDescent="0.25">
      <c r="A39" s="33"/>
      <c r="B39" s="198"/>
      <c r="C39" s="199"/>
      <c r="D39" s="199"/>
      <c r="E39" s="199"/>
      <c r="F39" s="199"/>
      <c r="G39" s="199"/>
      <c r="H39" s="199"/>
      <c r="I39" s="199"/>
      <c r="J39" s="199"/>
      <c r="K39" s="199"/>
      <c r="L39" s="199"/>
      <c r="M39" s="200"/>
      <c r="AT39"/>
    </row>
    <row r="40" spans="1:46" ht="11.25" customHeight="1" x14ac:dyDescent="0.25">
      <c r="A40" s="33"/>
      <c r="B40" s="198"/>
      <c r="C40" s="199"/>
      <c r="D40" s="199"/>
      <c r="E40" s="199"/>
      <c r="F40" s="199"/>
      <c r="G40" s="199"/>
      <c r="H40" s="199"/>
      <c r="I40" s="199"/>
      <c r="J40" s="199"/>
      <c r="K40" s="199"/>
      <c r="L40" s="199"/>
      <c r="M40" s="200"/>
      <c r="AT40"/>
    </row>
    <row r="41" spans="1:46" ht="12" customHeight="1" thickBot="1" x14ac:dyDescent="0.3">
      <c r="A41" s="33"/>
      <c r="B41" s="201"/>
      <c r="C41" s="202"/>
      <c r="D41" s="202"/>
      <c r="E41" s="202"/>
      <c r="F41" s="202"/>
      <c r="G41" s="202"/>
      <c r="H41" s="202"/>
      <c r="I41" s="202"/>
      <c r="J41" s="202"/>
      <c r="K41" s="202"/>
      <c r="L41" s="202"/>
      <c r="M41" s="203"/>
      <c r="O41" s="128"/>
      <c r="P41" s="129"/>
      <c r="AT41"/>
    </row>
    <row r="42" spans="1:46" ht="13" thickBot="1" x14ac:dyDescent="0.3">
      <c r="AT42"/>
    </row>
    <row r="43" spans="1:46" ht="13.5" customHeight="1" thickBot="1" x14ac:dyDescent="0.35">
      <c r="A43" s="33"/>
      <c r="B43" s="194" t="s">
        <v>372</v>
      </c>
      <c r="C43" s="1158" t="s">
        <v>373</v>
      </c>
      <c r="D43" s="1159"/>
      <c r="E43" s="1159"/>
      <c r="F43" s="1159"/>
      <c r="G43" s="1159"/>
      <c r="H43" s="1159"/>
      <c r="I43" s="1159"/>
      <c r="J43" s="1159"/>
      <c r="K43" s="1159"/>
      <c r="L43" s="1159"/>
      <c r="M43" s="1160"/>
      <c r="AT43"/>
    </row>
    <row r="44" spans="1:46" ht="11.25" customHeight="1" x14ac:dyDescent="0.25">
      <c r="A44" s="33"/>
      <c r="B44" s="850" t="s">
        <v>374</v>
      </c>
      <c r="C44" s="1031"/>
      <c r="D44" s="1031"/>
      <c r="E44" s="1031"/>
      <c r="F44" s="1031"/>
      <c r="G44" s="1031"/>
      <c r="H44" s="1031"/>
      <c r="I44" s="1031"/>
      <c r="J44" s="1031"/>
      <c r="K44" s="1031"/>
      <c r="L44" s="1031"/>
      <c r="M44" s="1032"/>
      <c r="AT44"/>
    </row>
    <row r="45" spans="1:46" ht="11.25" customHeight="1" x14ac:dyDescent="0.25">
      <c r="A45" s="33"/>
      <c r="B45" s="198"/>
      <c r="C45" s="199"/>
      <c r="D45" s="199"/>
      <c r="E45" s="199"/>
      <c r="F45" s="199"/>
      <c r="G45" s="199"/>
      <c r="H45" s="199"/>
      <c r="I45" s="199"/>
      <c r="J45" s="199"/>
      <c r="K45" s="199"/>
      <c r="L45" s="199"/>
      <c r="M45" s="200"/>
      <c r="AT45"/>
    </row>
    <row r="46" spans="1:46" ht="11.25" customHeight="1" x14ac:dyDescent="0.25">
      <c r="A46" s="33"/>
      <c r="B46" s="198"/>
      <c r="C46" s="199"/>
      <c r="D46" s="199"/>
      <c r="E46" s="199"/>
      <c r="F46" s="199"/>
      <c r="G46" s="199"/>
      <c r="H46" s="199"/>
      <c r="I46" s="199"/>
      <c r="J46" s="199"/>
      <c r="K46" s="199"/>
      <c r="L46" s="199"/>
      <c r="M46" s="200"/>
      <c r="AT46"/>
    </row>
    <row r="47" spans="1:46" ht="12" customHeight="1" thickBot="1" x14ac:dyDescent="0.3">
      <c r="A47" s="33"/>
      <c r="B47" s="201"/>
      <c r="C47" s="202"/>
      <c r="D47" s="202"/>
      <c r="E47" s="202"/>
      <c r="F47" s="202"/>
      <c r="G47" s="202"/>
      <c r="H47" s="202"/>
      <c r="I47" s="202"/>
      <c r="J47" s="202"/>
      <c r="K47" s="202"/>
      <c r="L47" s="202"/>
      <c r="M47" s="203"/>
      <c r="AT47"/>
    </row>
    <row r="48" spans="1:46" ht="13" thickBot="1" x14ac:dyDescent="0.3">
      <c r="AT48"/>
    </row>
    <row r="49" spans="1:46" ht="14.15" customHeight="1" thickBot="1" x14ac:dyDescent="0.35">
      <c r="A49" s="33"/>
      <c r="B49" s="194" t="s">
        <v>375</v>
      </c>
      <c r="C49" s="1158" t="s">
        <v>376</v>
      </c>
      <c r="D49" s="1159"/>
      <c r="E49" s="1159"/>
      <c r="F49" s="1159"/>
      <c r="G49" s="1159"/>
      <c r="H49" s="1159"/>
      <c r="I49" s="1159"/>
      <c r="J49" s="1159"/>
      <c r="K49" s="1159"/>
      <c r="L49" s="1159"/>
      <c r="M49" s="1160"/>
      <c r="AT49"/>
    </row>
    <row r="50" spans="1:46" ht="11.25" customHeight="1" x14ac:dyDescent="0.25">
      <c r="A50" s="33"/>
      <c r="B50" s="850" t="s">
        <v>374</v>
      </c>
      <c r="C50" s="1031"/>
      <c r="D50" s="1031"/>
      <c r="E50" s="1031"/>
      <c r="F50" s="1031"/>
      <c r="G50" s="1031"/>
      <c r="H50" s="1031"/>
      <c r="I50" s="1031"/>
      <c r="J50" s="1031"/>
      <c r="K50" s="1031"/>
      <c r="L50" s="1031"/>
      <c r="M50" s="1032"/>
      <c r="AT50"/>
    </row>
    <row r="51" spans="1:46" ht="11.25" customHeight="1" x14ac:dyDescent="0.25">
      <c r="A51" s="33"/>
      <c r="B51" s="198"/>
      <c r="C51" s="199"/>
      <c r="D51" s="199"/>
      <c r="E51" s="199"/>
      <c r="F51" s="199"/>
      <c r="G51" s="199"/>
      <c r="H51" s="199"/>
      <c r="I51" s="199"/>
      <c r="J51" s="199"/>
      <c r="K51" s="199"/>
      <c r="L51" s="199"/>
      <c r="M51" s="200"/>
      <c r="AT51"/>
    </row>
    <row r="52" spans="1:46" ht="11.25" customHeight="1" x14ac:dyDescent="0.25">
      <c r="A52" s="33"/>
      <c r="B52" s="198"/>
      <c r="C52" s="199"/>
      <c r="D52" s="199"/>
      <c r="E52" s="199"/>
      <c r="F52" s="199"/>
      <c r="G52" s="199"/>
      <c r="H52" s="199"/>
      <c r="I52" s="199"/>
      <c r="J52" s="199"/>
      <c r="K52" s="199"/>
      <c r="L52" s="199"/>
      <c r="M52" s="200"/>
      <c r="AT52"/>
    </row>
    <row r="53" spans="1:46" ht="12" customHeight="1" thickBot="1" x14ac:dyDescent="0.3">
      <c r="A53" s="33"/>
      <c r="B53" s="201"/>
      <c r="C53" s="202"/>
      <c r="D53" s="202"/>
      <c r="E53" s="202"/>
      <c r="F53" s="202"/>
      <c r="G53" s="202"/>
      <c r="H53" s="202"/>
      <c r="I53" s="202"/>
      <c r="J53" s="202"/>
      <c r="K53" s="202"/>
      <c r="L53" s="202"/>
      <c r="M53" s="203"/>
      <c r="AT53"/>
    </row>
    <row r="54" spans="1:46" ht="13" thickBot="1" x14ac:dyDescent="0.3">
      <c r="A54" s="33"/>
      <c r="B54" s="115"/>
      <c r="C54" s="881"/>
      <c r="D54" s="881"/>
      <c r="E54" s="881"/>
      <c r="F54" s="881"/>
      <c r="G54" s="881"/>
      <c r="H54" s="881"/>
      <c r="I54" s="881"/>
      <c r="J54" s="881"/>
      <c r="K54" s="881"/>
      <c r="L54" s="881"/>
      <c r="M54" s="881"/>
      <c r="AT54"/>
    </row>
    <row r="55" spans="1:46" ht="13.5" thickBot="1" x14ac:dyDescent="0.35">
      <c r="A55" s="33"/>
      <c r="B55" s="194" t="s">
        <v>377</v>
      </c>
      <c r="C55" s="1158" t="s">
        <v>378</v>
      </c>
      <c r="D55" s="1159"/>
      <c r="E55" s="1159"/>
      <c r="F55" s="1159"/>
      <c r="G55" s="1159"/>
      <c r="H55" s="1159"/>
      <c r="I55" s="1159"/>
      <c r="J55" s="1159"/>
      <c r="K55" s="1159"/>
      <c r="L55" s="1159"/>
      <c r="M55" s="1160"/>
      <c r="AT55"/>
    </row>
    <row r="56" spans="1:46" ht="11.25" customHeight="1" x14ac:dyDescent="0.25">
      <c r="A56" s="33"/>
      <c r="B56" s="850" t="s">
        <v>374</v>
      </c>
      <c r="C56" s="1031"/>
      <c r="D56" s="1031"/>
      <c r="E56" s="1031"/>
      <c r="F56" s="1031"/>
      <c r="G56" s="1031"/>
      <c r="H56" s="1031"/>
      <c r="I56" s="1031"/>
      <c r="J56" s="1031"/>
      <c r="K56" s="1031"/>
      <c r="L56" s="1031"/>
      <c r="M56" s="1032"/>
      <c r="AT56"/>
    </row>
    <row r="57" spans="1:46" ht="11.25" customHeight="1" x14ac:dyDescent="0.25">
      <c r="A57" s="33"/>
      <c r="B57" s="198"/>
      <c r="C57" s="199"/>
      <c r="D57" s="199"/>
      <c r="E57" s="199"/>
      <c r="F57" s="199"/>
      <c r="G57" s="199"/>
      <c r="H57" s="199"/>
      <c r="I57" s="199"/>
      <c r="J57" s="199"/>
      <c r="K57" s="199"/>
      <c r="L57" s="199"/>
      <c r="M57" s="200"/>
      <c r="AT57"/>
    </row>
    <row r="58" spans="1:46" ht="11.25" customHeight="1" x14ac:dyDescent="0.25">
      <c r="A58" s="33"/>
      <c r="B58" s="198"/>
      <c r="C58" s="199"/>
      <c r="D58" s="199"/>
      <c r="E58" s="199"/>
      <c r="F58" s="199"/>
      <c r="G58" s="199"/>
      <c r="H58" s="199"/>
      <c r="I58" s="199"/>
      <c r="J58" s="199"/>
      <c r="K58" s="199"/>
      <c r="L58" s="199"/>
      <c r="M58" s="200"/>
      <c r="AT58"/>
    </row>
    <row r="59" spans="1:46" ht="12" customHeight="1" thickBot="1" x14ac:dyDescent="0.3">
      <c r="A59" s="33"/>
      <c r="B59" s="201"/>
      <c r="C59" s="202"/>
      <c r="D59" s="202"/>
      <c r="E59" s="202"/>
      <c r="F59" s="202"/>
      <c r="G59" s="202"/>
      <c r="H59" s="202"/>
      <c r="I59" s="202"/>
      <c r="J59" s="202"/>
      <c r="K59" s="202"/>
      <c r="L59" s="202"/>
      <c r="M59" s="203"/>
      <c r="AT59"/>
    </row>
    <row r="60" spans="1:46" ht="13" thickBot="1" x14ac:dyDescent="0.3">
      <c r="A60" s="33"/>
      <c r="B60" s="115"/>
      <c r="C60" s="881"/>
      <c r="D60" s="881"/>
      <c r="E60" s="881"/>
      <c r="F60" s="881"/>
      <c r="G60" s="881"/>
      <c r="H60" s="881"/>
      <c r="I60" s="881"/>
      <c r="J60" s="881"/>
      <c r="K60" s="881"/>
      <c r="L60" s="881"/>
      <c r="M60" s="881"/>
      <c r="AT60"/>
    </row>
    <row r="61" spans="1:46" ht="13.5" thickBot="1" x14ac:dyDescent="0.35">
      <c r="A61" s="33"/>
      <c r="B61" s="194" t="s">
        <v>379</v>
      </c>
      <c r="C61" s="1158" t="s">
        <v>380</v>
      </c>
      <c r="D61" s="1159"/>
      <c r="E61" s="1159"/>
      <c r="F61" s="1159"/>
      <c r="G61" s="1159"/>
      <c r="H61" s="1159"/>
      <c r="I61" s="1159"/>
      <c r="J61" s="1159"/>
      <c r="K61" s="1159"/>
      <c r="L61" s="1159"/>
      <c r="M61" s="1160"/>
      <c r="AT61"/>
    </row>
    <row r="62" spans="1:46" ht="11.25" customHeight="1" x14ac:dyDescent="0.25">
      <c r="A62" s="33"/>
      <c r="B62" s="850" t="s">
        <v>381</v>
      </c>
      <c r="C62" s="1031"/>
      <c r="D62" s="1031"/>
      <c r="E62" s="1031"/>
      <c r="F62" s="1031"/>
      <c r="G62" s="1031"/>
      <c r="H62" s="1031"/>
      <c r="I62" s="1031"/>
      <c r="J62" s="1031"/>
      <c r="K62" s="1031"/>
      <c r="L62" s="1031"/>
      <c r="M62" s="1032"/>
      <c r="AT62"/>
    </row>
    <row r="63" spans="1:46" ht="11.25" customHeight="1" x14ac:dyDescent="0.25">
      <c r="A63" s="33"/>
      <c r="B63" s="198"/>
      <c r="C63" s="199"/>
      <c r="D63" s="199"/>
      <c r="E63" s="199"/>
      <c r="F63" s="199"/>
      <c r="G63" s="199"/>
      <c r="H63" s="199"/>
      <c r="I63" s="199"/>
      <c r="J63" s="199"/>
      <c r="K63" s="199"/>
      <c r="L63" s="199"/>
      <c r="M63" s="200"/>
      <c r="AT63"/>
    </row>
    <row r="64" spans="1:46" ht="11.25" customHeight="1" x14ac:dyDescent="0.25">
      <c r="A64" s="33"/>
      <c r="B64" s="198"/>
      <c r="C64" s="199"/>
      <c r="D64" s="199"/>
      <c r="E64" s="199"/>
      <c r="F64" s="199"/>
      <c r="G64" s="199"/>
      <c r="H64" s="199"/>
      <c r="I64" s="199"/>
      <c r="J64" s="199"/>
      <c r="K64" s="199"/>
      <c r="L64" s="199"/>
      <c r="M64" s="200"/>
      <c r="AT64"/>
    </row>
    <row r="65" spans="1:46" ht="12" customHeight="1" thickBot="1" x14ac:dyDescent="0.3">
      <c r="A65" s="33"/>
      <c r="B65" s="201"/>
      <c r="C65" s="202"/>
      <c r="D65" s="202"/>
      <c r="E65" s="202"/>
      <c r="F65" s="202"/>
      <c r="G65" s="202"/>
      <c r="H65" s="202"/>
      <c r="I65" s="202"/>
      <c r="J65" s="202"/>
      <c r="K65" s="202"/>
      <c r="L65" s="202"/>
      <c r="M65" s="203"/>
      <c r="AT65"/>
    </row>
    <row r="66" spans="1:46" ht="13" thickBot="1" x14ac:dyDescent="0.3">
      <c r="A66" s="33"/>
      <c r="B66" s="115"/>
      <c r="C66" s="881"/>
      <c r="D66" s="881"/>
      <c r="E66" s="881"/>
      <c r="F66" s="881"/>
      <c r="G66" s="881"/>
      <c r="H66" s="881"/>
      <c r="I66" s="881"/>
      <c r="J66" s="881"/>
      <c r="K66" s="881"/>
      <c r="L66" s="881"/>
      <c r="M66" s="881"/>
      <c r="AT66"/>
    </row>
    <row r="67" spans="1:46" ht="13.5" thickBot="1" x14ac:dyDescent="0.35">
      <c r="A67" s="33"/>
      <c r="B67" s="194" t="s">
        <v>382</v>
      </c>
      <c r="C67" s="1158" t="s">
        <v>383</v>
      </c>
      <c r="D67" s="1159"/>
      <c r="E67" s="1159"/>
      <c r="F67" s="1159"/>
      <c r="G67" s="1159"/>
      <c r="H67" s="1159"/>
      <c r="I67" s="1159"/>
      <c r="J67" s="1159"/>
      <c r="K67" s="1159"/>
      <c r="L67" s="1159"/>
      <c r="M67" s="1160"/>
    </row>
    <row r="68" spans="1:46" ht="11.25" customHeight="1" x14ac:dyDescent="0.25">
      <c r="A68" s="33"/>
      <c r="B68" s="850"/>
      <c r="C68" s="1031"/>
      <c r="D68" s="1031"/>
      <c r="E68" s="1031"/>
      <c r="F68" s="1031"/>
      <c r="G68" s="1031"/>
      <c r="H68" s="1031"/>
      <c r="I68" s="1031"/>
      <c r="J68" s="1031"/>
      <c r="K68" s="1031"/>
      <c r="L68" s="1031"/>
      <c r="M68" s="1032"/>
    </row>
    <row r="69" spans="1:46" ht="11.25" customHeight="1" x14ac:dyDescent="0.25">
      <c r="A69" s="33"/>
      <c r="B69" s="198"/>
      <c r="C69" s="199"/>
      <c r="D69" s="199"/>
      <c r="E69" s="199"/>
      <c r="F69" s="199"/>
      <c r="G69" s="199"/>
      <c r="H69" s="199"/>
      <c r="I69" s="199"/>
      <c r="J69" s="199"/>
      <c r="K69" s="199"/>
      <c r="L69" s="199"/>
      <c r="M69" s="200"/>
    </row>
    <row r="70" spans="1:46" ht="11.25" customHeight="1" x14ac:dyDescent="0.25">
      <c r="A70" s="33"/>
      <c r="B70" s="198"/>
      <c r="C70" s="199"/>
      <c r="D70" s="199"/>
      <c r="E70" s="199"/>
      <c r="F70" s="199"/>
      <c r="G70" s="199"/>
      <c r="H70" s="199"/>
      <c r="I70" s="199"/>
      <c r="J70" s="199"/>
      <c r="K70" s="199"/>
      <c r="L70" s="199"/>
      <c r="M70" s="200"/>
    </row>
    <row r="71" spans="1:46" ht="12" customHeight="1" thickBot="1" x14ac:dyDescent="0.3">
      <c r="A71" s="33"/>
      <c r="B71" s="201"/>
      <c r="C71" s="202"/>
      <c r="D71" s="202"/>
      <c r="E71" s="202"/>
      <c r="F71" s="202"/>
      <c r="G71" s="202"/>
      <c r="H71" s="202"/>
      <c r="I71" s="202"/>
      <c r="J71" s="202"/>
      <c r="K71" s="202"/>
      <c r="L71" s="202"/>
      <c r="M71" s="203"/>
    </row>
    <row r="72" spans="1:46" ht="13" thickBot="1" x14ac:dyDescent="0.3">
      <c r="A72" s="33"/>
      <c r="B72" s="115"/>
      <c r="C72" s="881"/>
      <c r="D72" s="881"/>
      <c r="E72" s="881"/>
      <c r="F72" s="881"/>
      <c r="G72" s="881"/>
      <c r="H72" s="881"/>
      <c r="I72" s="881"/>
      <c r="J72" s="881"/>
      <c r="K72" s="881"/>
      <c r="L72" s="881"/>
      <c r="M72" s="881"/>
    </row>
    <row r="73" spans="1:46" ht="13.5" thickBot="1" x14ac:dyDescent="0.35">
      <c r="A73" s="33"/>
      <c r="B73" s="194" t="s">
        <v>384</v>
      </c>
      <c r="C73" s="1158" t="s">
        <v>380</v>
      </c>
      <c r="D73" s="1159"/>
      <c r="E73" s="1159"/>
      <c r="F73" s="1159"/>
      <c r="G73" s="1159"/>
      <c r="H73" s="1159"/>
      <c r="I73" s="1159"/>
      <c r="J73" s="1159"/>
      <c r="K73" s="1159"/>
      <c r="L73" s="1159"/>
      <c r="M73" s="1160"/>
    </row>
    <row r="74" spans="1:46" ht="11.25" customHeight="1" x14ac:dyDescent="0.25">
      <c r="A74" s="33"/>
      <c r="B74" s="850"/>
      <c r="C74" s="1031"/>
      <c r="D74" s="1031"/>
      <c r="E74" s="1031"/>
      <c r="F74" s="1031"/>
      <c r="G74" s="1031"/>
      <c r="H74" s="1031"/>
      <c r="I74" s="1031"/>
      <c r="J74" s="1031"/>
      <c r="K74" s="1031"/>
      <c r="L74" s="1031"/>
      <c r="M74" s="1032"/>
    </row>
    <row r="75" spans="1:46" ht="11.25" customHeight="1" x14ac:dyDescent="0.25">
      <c r="A75" s="33"/>
      <c r="B75" s="198"/>
      <c r="C75" s="199"/>
      <c r="D75" s="199"/>
      <c r="E75" s="199"/>
      <c r="F75" s="199"/>
      <c r="G75" s="199"/>
      <c r="H75" s="199"/>
      <c r="I75" s="199"/>
      <c r="J75" s="199"/>
      <c r="K75" s="199"/>
      <c r="L75" s="199"/>
      <c r="M75" s="200"/>
    </row>
    <row r="76" spans="1:46" ht="11.25" customHeight="1" x14ac:dyDescent="0.25">
      <c r="A76" s="33"/>
      <c r="B76" s="198"/>
      <c r="C76" s="199"/>
      <c r="D76" s="199"/>
      <c r="E76" s="199"/>
      <c r="F76" s="199"/>
      <c r="G76" s="199"/>
      <c r="H76" s="199"/>
      <c r="I76" s="199"/>
      <c r="J76" s="199"/>
      <c r="K76" s="199"/>
      <c r="L76" s="199"/>
      <c r="M76" s="200"/>
    </row>
    <row r="77" spans="1:46" ht="12" customHeight="1" thickBot="1" x14ac:dyDescent="0.3">
      <c r="A77" s="33"/>
      <c r="B77" s="201"/>
      <c r="C77" s="202"/>
      <c r="D77" s="202"/>
      <c r="E77" s="202"/>
      <c r="F77" s="202"/>
      <c r="G77" s="202"/>
      <c r="H77" s="202"/>
      <c r="I77" s="202"/>
      <c r="J77" s="202"/>
      <c r="K77" s="202"/>
      <c r="L77" s="202"/>
      <c r="M77" s="203"/>
    </row>
    <row r="78" spans="1:46" ht="13" thickBot="1" x14ac:dyDescent="0.3">
      <c r="A78" s="33"/>
      <c r="B78" s="115"/>
      <c r="C78" s="881"/>
      <c r="D78" s="881"/>
      <c r="E78" s="881"/>
      <c r="F78" s="881"/>
      <c r="G78" s="881"/>
      <c r="H78" s="881"/>
      <c r="I78" s="881"/>
      <c r="J78" s="881"/>
      <c r="K78" s="881"/>
      <c r="L78" s="881"/>
      <c r="M78" s="881"/>
    </row>
    <row r="79" spans="1:46" ht="13.5" thickBot="1" x14ac:dyDescent="0.35">
      <c r="A79" s="33"/>
      <c r="B79" s="194" t="s">
        <v>385</v>
      </c>
      <c r="C79" s="1158" t="s">
        <v>380</v>
      </c>
      <c r="D79" s="1159"/>
      <c r="E79" s="1159"/>
      <c r="F79" s="1159"/>
      <c r="G79" s="1159"/>
      <c r="H79" s="1159"/>
      <c r="I79" s="1159"/>
      <c r="J79" s="1159"/>
      <c r="K79" s="1159"/>
      <c r="L79" s="1159"/>
      <c r="M79" s="1160"/>
    </row>
    <row r="80" spans="1:46" ht="11.25" customHeight="1" x14ac:dyDescent="0.25">
      <c r="A80" s="33"/>
      <c r="B80" s="850"/>
      <c r="C80" s="1031"/>
      <c r="D80" s="1031"/>
      <c r="E80" s="1031"/>
      <c r="F80" s="1031"/>
      <c r="G80" s="1031"/>
      <c r="H80" s="1031"/>
      <c r="I80" s="1031"/>
      <c r="J80" s="1031"/>
      <c r="K80" s="1031"/>
      <c r="L80" s="1031"/>
      <c r="M80" s="1032"/>
    </row>
    <row r="81" spans="1:13" ht="11.25" customHeight="1" x14ac:dyDescent="0.25">
      <c r="A81" s="33"/>
      <c r="B81" s="198"/>
      <c r="C81" s="199"/>
      <c r="D81" s="199"/>
      <c r="E81" s="199"/>
      <c r="F81" s="199"/>
      <c r="G81" s="199"/>
      <c r="H81" s="199"/>
      <c r="I81" s="199"/>
      <c r="J81" s="199"/>
      <c r="K81" s="199"/>
      <c r="L81" s="199"/>
      <c r="M81" s="200"/>
    </row>
    <row r="82" spans="1:13" ht="11.25" customHeight="1" x14ac:dyDescent="0.25">
      <c r="A82" s="33"/>
      <c r="B82" s="198"/>
      <c r="C82" s="199"/>
      <c r="D82" s="199"/>
      <c r="E82" s="199"/>
      <c r="F82" s="199"/>
      <c r="G82" s="199"/>
      <c r="H82" s="199"/>
      <c r="I82" s="199"/>
      <c r="J82" s="199"/>
      <c r="K82" s="199"/>
      <c r="L82" s="199"/>
      <c r="M82" s="200"/>
    </row>
    <row r="83" spans="1:13" ht="12" customHeight="1" thickBot="1" x14ac:dyDescent="0.3">
      <c r="A83" s="33"/>
      <c r="B83" s="201"/>
      <c r="C83" s="202"/>
      <c r="D83" s="202"/>
      <c r="E83" s="202"/>
      <c r="F83" s="202"/>
      <c r="G83" s="202"/>
      <c r="H83" s="202"/>
      <c r="I83" s="202"/>
      <c r="J83" s="202"/>
      <c r="K83" s="202"/>
      <c r="L83" s="202"/>
      <c r="M83" s="203"/>
    </row>
    <row r="84" spans="1:13" ht="13" thickBot="1" x14ac:dyDescent="0.3">
      <c r="A84" s="33"/>
      <c r="B84" s="115"/>
      <c r="C84" s="881"/>
      <c r="D84" s="881"/>
      <c r="E84" s="881"/>
      <c r="F84" s="881"/>
      <c r="G84" s="881"/>
      <c r="H84" s="881"/>
      <c r="I84" s="881"/>
      <c r="J84" s="881"/>
      <c r="K84" s="881"/>
      <c r="L84" s="881"/>
      <c r="M84" s="881"/>
    </row>
    <row r="85" spans="1:13" ht="13.5" thickBot="1" x14ac:dyDescent="0.35">
      <c r="A85" s="33"/>
      <c r="B85" s="194" t="s">
        <v>386</v>
      </c>
      <c r="C85" s="1158" t="s">
        <v>380</v>
      </c>
      <c r="D85" s="1159"/>
      <c r="E85" s="1159"/>
      <c r="F85" s="1159"/>
      <c r="G85" s="1159"/>
      <c r="H85" s="1159"/>
      <c r="I85" s="1159"/>
      <c r="J85" s="1159"/>
      <c r="K85" s="1159"/>
      <c r="L85" s="1159"/>
      <c r="M85" s="1160"/>
    </row>
    <row r="86" spans="1:13" ht="11.25" customHeight="1" x14ac:dyDescent="0.25">
      <c r="A86" s="33"/>
      <c r="B86" s="850"/>
      <c r="C86" s="1031"/>
      <c r="D86" s="1031"/>
      <c r="E86" s="1031"/>
      <c r="F86" s="1031"/>
      <c r="G86" s="1031"/>
      <c r="H86" s="1031"/>
      <c r="I86" s="1031"/>
      <c r="J86" s="1031"/>
      <c r="K86" s="1031"/>
      <c r="L86" s="1031"/>
      <c r="M86" s="1032"/>
    </row>
    <row r="87" spans="1:13" ht="11.25" customHeight="1" x14ac:dyDescent="0.25">
      <c r="A87" s="33"/>
      <c r="B87" s="198"/>
      <c r="C87" s="199"/>
      <c r="D87" s="199"/>
      <c r="E87" s="199"/>
      <c r="F87" s="199"/>
      <c r="G87" s="199"/>
      <c r="H87" s="199"/>
      <c r="I87" s="199"/>
      <c r="J87" s="199"/>
      <c r="K87" s="199"/>
      <c r="L87" s="199"/>
      <c r="M87" s="200"/>
    </row>
    <row r="88" spans="1:13" ht="11.25" customHeight="1" x14ac:dyDescent="0.25">
      <c r="A88" s="33"/>
      <c r="B88" s="198"/>
      <c r="C88" s="199"/>
      <c r="D88" s="199"/>
      <c r="E88" s="199"/>
      <c r="F88" s="199"/>
      <c r="G88" s="199"/>
      <c r="H88" s="199"/>
      <c r="I88" s="199"/>
      <c r="J88" s="199"/>
      <c r="K88" s="199"/>
      <c r="L88" s="199"/>
      <c r="M88" s="200"/>
    </row>
    <row r="89" spans="1:13" ht="12" customHeight="1" thickBot="1" x14ac:dyDescent="0.3">
      <c r="A89" s="33"/>
      <c r="B89" s="201"/>
      <c r="C89" s="202"/>
      <c r="D89" s="202"/>
      <c r="E89" s="202"/>
      <c r="F89" s="202"/>
      <c r="G89" s="202"/>
      <c r="H89" s="202"/>
      <c r="I89" s="202"/>
      <c r="J89" s="202"/>
      <c r="K89" s="202"/>
      <c r="L89" s="202"/>
      <c r="M89" s="203"/>
    </row>
    <row r="90" spans="1:13" ht="13" thickBot="1" x14ac:dyDescent="0.3">
      <c r="A90" s="33"/>
      <c r="B90" s="115"/>
      <c r="C90" s="881"/>
      <c r="D90" s="881"/>
      <c r="E90" s="881"/>
      <c r="F90" s="881"/>
      <c r="G90" s="881"/>
      <c r="H90" s="881"/>
      <c r="I90" s="881"/>
      <c r="J90" s="881"/>
      <c r="K90" s="881"/>
      <c r="L90" s="881"/>
      <c r="M90" s="881"/>
    </row>
    <row r="91" spans="1:13" ht="13.5" thickBot="1" x14ac:dyDescent="0.35">
      <c r="A91" s="33"/>
      <c r="B91" s="194" t="s">
        <v>387</v>
      </c>
      <c r="C91" s="1158" t="s">
        <v>380</v>
      </c>
      <c r="D91" s="1159"/>
      <c r="E91" s="1159"/>
      <c r="F91" s="1159"/>
      <c r="G91" s="1159"/>
      <c r="H91" s="1159"/>
      <c r="I91" s="1159"/>
      <c r="J91" s="1159"/>
      <c r="K91" s="1159"/>
      <c r="L91" s="1159"/>
      <c r="M91" s="1160"/>
    </row>
    <row r="92" spans="1:13" ht="11.25" customHeight="1" x14ac:dyDescent="0.25">
      <c r="A92" s="33"/>
      <c r="B92" s="850"/>
      <c r="C92" s="1031"/>
      <c r="D92" s="1031"/>
      <c r="E92" s="1031"/>
      <c r="F92" s="1031"/>
      <c r="G92" s="1031"/>
      <c r="H92" s="1031"/>
      <c r="I92" s="1031"/>
      <c r="J92" s="1031"/>
      <c r="K92" s="1031"/>
      <c r="L92" s="1031"/>
      <c r="M92" s="1032"/>
    </row>
    <row r="93" spans="1:13" ht="11.25" customHeight="1" x14ac:dyDescent="0.25">
      <c r="A93" s="33"/>
      <c r="B93" s="198"/>
      <c r="C93" s="199"/>
      <c r="D93" s="199"/>
      <c r="E93" s="199"/>
      <c r="F93" s="199"/>
      <c r="G93" s="199"/>
      <c r="H93" s="199"/>
      <c r="I93" s="199"/>
      <c r="J93" s="199"/>
      <c r="K93" s="199"/>
      <c r="L93" s="199"/>
      <c r="M93" s="200"/>
    </row>
    <row r="94" spans="1:13" ht="11.25" customHeight="1" x14ac:dyDescent="0.25">
      <c r="A94" s="33"/>
      <c r="B94" s="198"/>
      <c r="C94" s="199"/>
      <c r="D94" s="199"/>
      <c r="E94" s="199"/>
      <c r="F94" s="199"/>
      <c r="G94" s="199"/>
      <c r="H94" s="199"/>
      <c r="I94" s="199"/>
      <c r="J94" s="199"/>
      <c r="K94" s="199"/>
      <c r="L94" s="199"/>
      <c r="M94" s="200"/>
    </row>
    <row r="95" spans="1:13" ht="12" customHeight="1" thickBot="1" x14ac:dyDescent="0.3">
      <c r="A95" s="33"/>
      <c r="B95" s="201"/>
      <c r="C95" s="202"/>
      <c r="D95" s="202"/>
      <c r="E95" s="202"/>
      <c r="F95" s="202"/>
      <c r="G95" s="202"/>
      <c r="H95" s="202"/>
      <c r="I95" s="202"/>
      <c r="J95" s="202"/>
      <c r="K95" s="202"/>
      <c r="L95" s="202"/>
      <c r="M95" s="203"/>
    </row>
    <row r="96" spans="1:13" ht="13" thickBot="1" x14ac:dyDescent="0.3">
      <c r="A96" s="33"/>
      <c r="B96" s="115"/>
      <c r="C96" s="881"/>
      <c r="D96" s="881"/>
      <c r="E96" s="881"/>
      <c r="F96" s="881"/>
      <c r="G96" s="881"/>
      <c r="H96" s="881"/>
      <c r="I96" s="881"/>
      <c r="J96" s="881"/>
      <c r="K96" s="881"/>
      <c r="L96" s="881"/>
      <c r="M96" s="881"/>
    </row>
    <row r="97" spans="1:13" ht="13.5" thickBot="1" x14ac:dyDescent="0.35">
      <c r="A97" s="33"/>
      <c r="B97" s="194" t="s">
        <v>388</v>
      </c>
      <c r="C97" s="1158" t="s">
        <v>383</v>
      </c>
      <c r="D97" s="1159"/>
      <c r="E97" s="1159"/>
      <c r="F97" s="1159"/>
      <c r="G97" s="1159"/>
      <c r="H97" s="1159"/>
      <c r="I97" s="1159"/>
      <c r="J97" s="1159"/>
      <c r="K97" s="1159"/>
      <c r="L97" s="1159"/>
      <c r="M97" s="1160"/>
    </row>
    <row r="98" spans="1:13" ht="11.25" customHeight="1" x14ac:dyDescent="0.25">
      <c r="A98" s="33"/>
      <c r="B98" s="850"/>
      <c r="C98" s="1031"/>
      <c r="D98" s="1031"/>
      <c r="E98" s="1031"/>
      <c r="F98" s="1031"/>
      <c r="G98" s="1031"/>
      <c r="H98" s="1031"/>
      <c r="I98" s="1031"/>
      <c r="J98" s="1031"/>
      <c r="K98" s="1031"/>
      <c r="L98" s="1031"/>
      <c r="M98" s="1032"/>
    </row>
    <row r="99" spans="1:13" ht="11.25" customHeight="1" x14ac:dyDescent="0.25">
      <c r="A99" s="33"/>
      <c r="B99" s="198"/>
      <c r="C99" s="199"/>
      <c r="D99" s="199"/>
      <c r="E99" s="199"/>
      <c r="F99" s="199"/>
      <c r="G99" s="199"/>
      <c r="H99" s="199"/>
      <c r="I99" s="199"/>
      <c r="J99" s="199"/>
      <c r="K99" s="199"/>
      <c r="L99" s="199"/>
      <c r="M99" s="200"/>
    </row>
    <row r="100" spans="1:13" ht="11.25" customHeight="1" x14ac:dyDescent="0.25">
      <c r="A100" s="33"/>
      <c r="B100" s="198"/>
      <c r="C100" s="199"/>
      <c r="D100" s="199"/>
      <c r="E100" s="199"/>
      <c r="F100" s="199"/>
      <c r="G100" s="199"/>
      <c r="H100" s="199"/>
      <c r="I100" s="199"/>
      <c r="J100" s="199"/>
      <c r="K100" s="199"/>
      <c r="L100" s="199"/>
      <c r="M100" s="200"/>
    </row>
    <row r="101" spans="1:13" ht="12" customHeight="1" thickBot="1" x14ac:dyDescent="0.3">
      <c r="A101" s="33"/>
      <c r="B101" s="201"/>
      <c r="C101" s="202"/>
      <c r="D101" s="202"/>
      <c r="E101" s="202"/>
      <c r="F101" s="202"/>
      <c r="G101" s="202"/>
      <c r="H101" s="202"/>
      <c r="I101" s="202"/>
      <c r="J101" s="202"/>
      <c r="K101" s="202"/>
      <c r="L101" s="202"/>
      <c r="M101" s="203"/>
    </row>
    <row r="102" spans="1:13" ht="13" thickBot="1" x14ac:dyDescent="0.3">
      <c r="A102" s="33"/>
      <c r="B102" s="115"/>
      <c r="C102" s="881"/>
      <c r="D102" s="881"/>
      <c r="E102" s="881"/>
      <c r="F102" s="881"/>
      <c r="G102" s="881"/>
      <c r="H102" s="881"/>
      <c r="I102" s="881"/>
      <c r="J102" s="881"/>
      <c r="K102" s="881"/>
      <c r="L102" s="881"/>
      <c r="M102" s="881"/>
    </row>
    <row r="103" spans="1:13" ht="13.5" thickBot="1" x14ac:dyDescent="0.35">
      <c r="A103" s="33"/>
      <c r="B103" s="194" t="s">
        <v>389</v>
      </c>
      <c r="C103" s="1158" t="s">
        <v>380</v>
      </c>
      <c r="D103" s="1159"/>
      <c r="E103" s="1159"/>
      <c r="F103" s="1159"/>
      <c r="G103" s="1159"/>
      <c r="H103" s="1159"/>
      <c r="I103" s="1159"/>
      <c r="J103" s="1159"/>
      <c r="K103" s="1159"/>
      <c r="L103" s="1159"/>
      <c r="M103" s="1160"/>
    </row>
    <row r="104" spans="1:13" ht="11.25" customHeight="1" x14ac:dyDescent="0.25">
      <c r="A104" s="33"/>
      <c r="B104" s="850"/>
      <c r="C104" s="1031"/>
      <c r="D104" s="1031"/>
      <c r="E104" s="1031"/>
      <c r="F104" s="1031"/>
      <c r="G104" s="1031"/>
      <c r="H104" s="1031"/>
      <c r="I104" s="1031"/>
      <c r="J104" s="1031"/>
      <c r="K104" s="1031"/>
      <c r="L104" s="1031"/>
      <c r="M104" s="1032"/>
    </row>
    <row r="105" spans="1:13" ht="11.25" customHeight="1" x14ac:dyDescent="0.25">
      <c r="A105" s="33"/>
      <c r="B105" s="198"/>
      <c r="C105" s="199"/>
      <c r="D105" s="199"/>
      <c r="E105" s="199"/>
      <c r="F105" s="199"/>
      <c r="G105" s="199"/>
      <c r="H105" s="199"/>
      <c r="I105" s="199"/>
      <c r="J105" s="199"/>
      <c r="K105" s="199"/>
      <c r="L105" s="199"/>
      <c r="M105" s="200"/>
    </row>
    <row r="106" spans="1:13" ht="11.25" customHeight="1" x14ac:dyDescent="0.25">
      <c r="A106" s="33"/>
      <c r="B106" s="198"/>
      <c r="C106" s="199"/>
      <c r="D106" s="199"/>
      <c r="E106" s="199"/>
      <c r="F106" s="199"/>
      <c r="G106" s="199"/>
      <c r="H106" s="199"/>
      <c r="I106" s="199"/>
      <c r="J106" s="199"/>
      <c r="K106" s="199"/>
      <c r="L106" s="199"/>
      <c r="M106" s="200"/>
    </row>
    <row r="107" spans="1:13" ht="12" customHeight="1" thickBot="1" x14ac:dyDescent="0.3">
      <c r="A107" s="33"/>
      <c r="B107" s="201"/>
      <c r="C107" s="202"/>
      <c r="D107" s="202"/>
      <c r="E107" s="202"/>
      <c r="F107" s="202"/>
      <c r="G107" s="202"/>
      <c r="H107" s="202"/>
      <c r="I107" s="202"/>
      <c r="J107" s="202"/>
      <c r="K107" s="202"/>
      <c r="L107" s="202"/>
      <c r="M107" s="203"/>
    </row>
    <row r="108" spans="1:13" ht="13" thickBot="1" x14ac:dyDescent="0.3">
      <c r="A108" s="33"/>
      <c r="B108" s="115"/>
      <c r="C108" s="881"/>
      <c r="D108" s="881"/>
      <c r="E108" s="881"/>
      <c r="F108" s="881"/>
      <c r="G108" s="881"/>
      <c r="H108" s="881"/>
      <c r="I108" s="881"/>
      <c r="J108" s="881"/>
      <c r="K108" s="881"/>
      <c r="L108" s="881"/>
      <c r="M108" s="881"/>
    </row>
    <row r="109" spans="1:13" ht="13.5" thickBot="1" x14ac:dyDescent="0.35">
      <c r="A109" s="33"/>
      <c r="B109" s="194" t="s">
        <v>390</v>
      </c>
      <c r="C109" s="1158" t="s">
        <v>380</v>
      </c>
      <c r="D109" s="1159"/>
      <c r="E109" s="1159"/>
      <c r="F109" s="1159"/>
      <c r="G109" s="1159"/>
      <c r="H109" s="1159"/>
      <c r="I109" s="1159"/>
      <c r="J109" s="1159"/>
      <c r="K109" s="1159"/>
      <c r="L109" s="1159"/>
      <c r="M109" s="1160"/>
    </row>
    <row r="110" spans="1:13" ht="11.25" customHeight="1" x14ac:dyDescent="0.25">
      <c r="A110" s="33"/>
      <c r="B110" s="850"/>
      <c r="C110" s="1031"/>
      <c r="D110" s="1031"/>
      <c r="E110" s="1031"/>
      <c r="F110" s="1031"/>
      <c r="G110" s="1031"/>
      <c r="H110" s="1031"/>
      <c r="I110" s="1031"/>
      <c r="J110" s="1031"/>
      <c r="K110" s="1031"/>
      <c r="L110" s="1031"/>
      <c r="M110" s="1032"/>
    </row>
    <row r="111" spans="1:13" ht="11.25" customHeight="1" x14ac:dyDescent="0.25">
      <c r="A111" s="33"/>
      <c r="B111" s="198"/>
      <c r="C111" s="199"/>
      <c r="D111" s="199"/>
      <c r="E111" s="199"/>
      <c r="F111" s="199"/>
      <c r="G111" s="199"/>
      <c r="H111" s="199"/>
      <c r="I111" s="199"/>
      <c r="J111" s="199"/>
      <c r="K111" s="199"/>
      <c r="L111" s="199"/>
      <c r="M111" s="200"/>
    </row>
    <row r="112" spans="1:13" ht="11.25" customHeight="1" x14ac:dyDescent="0.25">
      <c r="A112" s="33"/>
      <c r="B112" s="198"/>
      <c r="C112" s="199"/>
      <c r="D112" s="199"/>
      <c r="E112" s="199"/>
      <c r="F112" s="199"/>
      <c r="G112" s="199"/>
      <c r="H112" s="199"/>
      <c r="I112" s="199"/>
      <c r="J112" s="199"/>
      <c r="K112" s="199"/>
      <c r="L112" s="199"/>
      <c r="M112" s="200"/>
    </row>
    <row r="113" spans="1:13" ht="12" customHeight="1" thickBot="1" x14ac:dyDescent="0.3">
      <c r="A113" s="33"/>
      <c r="B113" s="201"/>
      <c r="C113" s="202"/>
      <c r="D113" s="202"/>
      <c r="E113" s="202"/>
      <c r="F113" s="202"/>
      <c r="G113" s="202"/>
      <c r="H113" s="202"/>
      <c r="I113" s="202"/>
      <c r="J113" s="202"/>
      <c r="K113" s="202"/>
      <c r="L113" s="202"/>
      <c r="M113" s="203"/>
    </row>
    <row r="114" spans="1:13" ht="13" thickBot="1" x14ac:dyDescent="0.3">
      <c r="A114" s="33"/>
      <c r="B114" s="115"/>
      <c r="C114" s="881"/>
      <c r="D114" s="881"/>
      <c r="E114" s="881"/>
      <c r="F114" s="881"/>
      <c r="G114" s="881"/>
      <c r="H114" s="881"/>
      <c r="I114" s="881"/>
      <c r="J114" s="881"/>
      <c r="K114" s="881"/>
      <c r="L114" s="881"/>
      <c r="M114" s="881"/>
    </row>
    <row r="115" spans="1:13" ht="13.5" thickBot="1" x14ac:dyDescent="0.35">
      <c r="A115" s="33"/>
      <c r="B115" s="194" t="s">
        <v>391</v>
      </c>
      <c r="C115" s="1158" t="s">
        <v>380</v>
      </c>
      <c r="D115" s="1159"/>
      <c r="E115" s="1159"/>
      <c r="F115" s="1159"/>
      <c r="G115" s="1159"/>
      <c r="H115" s="1159"/>
      <c r="I115" s="1159"/>
      <c r="J115" s="1159"/>
      <c r="K115" s="1159"/>
      <c r="L115" s="1159"/>
      <c r="M115" s="1160"/>
    </row>
    <row r="116" spans="1:13" ht="11.25" customHeight="1" x14ac:dyDescent="0.25">
      <c r="A116" s="33"/>
      <c r="B116" s="850"/>
      <c r="C116" s="1031"/>
      <c r="D116" s="1031"/>
      <c r="E116" s="1031"/>
      <c r="F116" s="1031"/>
      <c r="G116" s="1031"/>
      <c r="H116" s="1031"/>
      <c r="I116" s="1031"/>
      <c r="J116" s="1031"/>
      <c r="K116" s="1031"/>
      <c r="L116" s="1031"/>
      <c r="M116" s="1032"/>
    </row>
    <row r="117" spans="1:13" ht="11.25" customHeight="1" x14ac:dyDescent="0.25">
      <c r="A117" s="33"/>
      <c r="B117" s="198"/>
      <c r="C117" s="199"/>
      <c r="D117" s="199"/>
      <c r="E117" s="199"/>
      <c r="F117" s="199"/>
      <c r="G117" s="199"/>
      <c r="H117" s="199"/>
      <c r="I117" s="199"/>
      <c r="J117" s="199"/>
      <c r="K117" s="199"/>
      <c r="L117" s="199"/>
      <c r="M117" s="200"/>
    </row>
    <row r="118" spans="1:13" ht="11.25" customHeight="1" x14ac:dyDescent="0.25">
      <c r="A118" s="33"/>
      <c r="B118" s="198"/>
      <c r="C118" s="199"/>
      <c r="D118" s="199"/>
      <c r="E118" s="199"/>
      <c r="F118" s="199"/>
      <c r="G118" s="199"/>
      <c r="H118" s="199"/>
      <c r="I118" s="199"/>
      <c r="J118" s="199"/>
      <c r="K118" s="199"/>
      <c r="L118" s="199"/>
      <c r="M118" s="200"/>
    </row>
    <row r="119" spans="1:13" ht="12" customHeight="1" thickBot="1" x14ac:dyDescent="0.3">
      <c r="A119" s="33"/>
      <c r="B119" s="201"/>
      <c r="C119" s="202"/>
      <c r="D119" s="202"/>
      <c r="E119" s="202"/>
      <c r="F119" s="202"/>
      <c r="G119" s="202"/>
      <c r="H119" s="202"/>
      <c r="I119" s="202"/>
      <c r="J119" s="202"/>
      <c r="K119" s="202"/>
      <c r="L119" s="202"/>
      <c r="M119" s="203"/>
    </row>
    <row r="120" spans="1:13" ht="13" thickBot="1" x14ac:dyDescent="0.3">
      <c r="A120" s="33"/>
      <c r="B120" s="115"/>
      <c r="C120" s="881"/>
      <c r="D120" s="881"/>
      <c r="E120" s="881"/>
      <c r="F120" s="881"/>
      <c r="G120" s="881"/>
      <c r="H120" s="881"/>
      <c r="I120" s="881"/>
      <c r="J120" s="881"/>
      <c r="K120" s="881"/>
      <c r="L120" s="881"/>
      <c r="M120" s="881"/>
    </row>
    <row r="121" spans="1:13" ht="13.5" thickBot="1" x14ac:dyDescent="0.35">
      <c r="A121" s="33"/>
      <c r="B121" s="194" t="s">
        <v>392</v>
      </c>
      <c r="C121" s="1158" t="s">
        <v>380</v>
      </c>
      <c r="D121" s="1159"/>
      <c r="E121" s="1159"/>
      <c r="F121" s="1159"/>
      <c r="G121" s="1159"/>
      <c r="H121" s="1159"/>
      <c r="I121" s="1159"/>
      <c r="J121" s="1159"/>
      <c r="K121" s="1159"/>
      <c r="L121" s="1159"/>
      <c r="M121" s="1160"/>
    </row>
    <row r="122" spans="1:13" ht="11.25" customHeight="1" x14ac:dyDescent="0.25">
      <c r="A122" s="33"/>
      <c r="B122" s="850"/>
      <c r="C122" s="1031"/>
      <c r="D122" s="1031"/>
      <c r="E122" s="1031"/>
      <c r="F122" s="1031"/>
      <c r="G122" s="1031"/>
      <c r="H122" s="1031"/>
      <c r="I122" s="1031"/>
      <c r="J122" s="1031"/>
      <c r="K122" s="1031"/>
      <c r="L122" s="1031"/>
      <c r="M122" s="1032"/>
    </row>
    <row r="123" spans="1:13" ht="11.25" customHeight="1" x14ac:dyDescent="0.25">
      <c r="A123" s="33"/>
      <c r="B123" s="198"/>
      <c r="C123" s="199"/>
      <c r="D123" s="199"/>
      <c r="E123" s="199"/>
      <c r="F123" s="199"/>
      <c r="G123" s="199"/>
      <c r="H123" s="199"/>
      <c r="I123" s="199"/>
      <c r="J123" s="199"/>
      <c r="K123" s="199"/>
      <c r="L123" s="199"/>
      <c r="M123" s="200"/>
    </row>
    <row r="124" spans="1:13" ht="11.25" customHeight="1" x14ac:dyDescent="0.25">
      <c r="A124" s="33"/>
      <c r="B124" s="198"/>
      <c r="C124" s="199"/>
      <c r="D124" s="199"/>
      <c r="E124" s="199"/>
      <c r="F124" s="199"/>
      <c r="G124" s="199"/>
      <c r="H124" s="199"/>
      <c r="I124" s="199"/>
      <c r="J124" s="199"/>
      <c r="K124" s="199"/>
      <c r="L124" s="199"/>
      <c r="M124" s="200"/>
    </row>
    <row r="125" spans="1:13" ht="12" customHeight="1" thickBot="1" x14ac:dyDescent="0.3">
      <c r="A125" s="33"/>
      <c r="B125" s="201"/>
      <c r="C125" s="202"/>
      <c r="D125" s="202"/>
      <c r="E125" s="202"/>
      <c r="F125" s="202"/>
      <c r="G125" s="202"/>
      <c r="H125" s="202"/>
      <c r="I125" s="202"/>
      <c r="J125" s="202"/>
      <c r="K125" s="202"/>
      <c r="L125" s="202"/>
      <c r="M125" s="203"/>
    </row>
    <row r="126" spans="1:13" ht="13" thickBot="1" x14ac:dyDescent="0.3">
      <c r="A126" s="33"/>
      <c r="B126" s="115"/>
      <c r="C126" s="115"/>
      <c r="D126" s="115"/>
      <c r="E126" s="115"/>
      <c r="F126" s="115"/>
      <c r="G126" s="115"/>
      <c r="H126" s="115"/>
      <c r="I126" s="115"/>
      <c r="J126" s="115"/>
      <c r="K126" s="115"/>
      <c r="L126" s="115"/>
      <c r="M126" s="115"/>
    </row>
    <row r="127" spans="1:13" x14ac:dyDescent="0.25">
      <c r="B127" s="148" t="s">
        <v>343</v>
      </c>
      <c r="C127" s="149"/>
      <c r="D127" s="150"/>
      <c r="E127" s="151"/>
      <c r="F127" s="149"/>
      <c r="G127" s="149"/>
      <c r="H127" s="149"/>
      <c r="I127" s="149"/>
      <c r="J127" s="149"/>
      <c r="K127" s="149"/>
      <c r="L127" s="149"/>
      <c r="M127" s="152"/>
    </row>
    <row r="128" spans="1:13" x14ac:dyDescent="0.25">
      <c r="B128" s="195"/>
      <c r="C128" s="196"/>
      <c r="D128" s="196"/>
      <c r="E128" s="196"/>
      <c r="F128" s="196"/>
      <c r="G128" s="196"/>
      <c r="H128" s="196"/>
      <c r="I128" s="196"/>
      <c r="J128" s="196"/>
      <c r="K128" s="196"/>
      <c r="L128" s="196"/>
      <c r="M128" s="197"/>
    </row>
    <row r="129" spans="2:13" x14ac:dyDescent="0.25">
      <c r="B129" s="198"/>
      <c r="C129" s="199"/>
      <c r="D129" s="199"/>
      <c r="E129" s="199"/>
      <c r="F129" s="199"/>
      <c r="G129" s="199"/>
      <c r="H129" s="199"/>
      <c r="I129" s="199"/>
      <c r="J129" s="199"/>
      <c r="K129" s="199"/>
      <c r="L129" s="199"/>
      <c r="M129" s="200"/>
    </row>
    <row r="130" spans="2:13" x14ac:dyDescent="0.25">
      <c r="B130" s="198"/>
      <c r="C130" s="199"/>
      <c r="D130" s="199"/>
      <c r="E130" s="199"/>
      <c r="F130" s="199"/>
      <c r="G130" s="199"/>
      <c r="H130" s="199"/>
      <c r="I130" s="199"/>
      <c r="J130" s="199"/>
      <c r="K130" s="199"/>
      <c r="L130" s="199"/>
      <c r="M130" s="200"/>
    </row>
    <row r="131" spans="2:13" x14ac:dyDescent="0.25">
      <c r="B131" s="198"/>
      <c r="C131" s="199"/>
      <c r="D131" s="199"/>
      <c r="E131" s="199"/>
      <c r="F131" s="199"/>
      <c r="G131" s="199"/>
      <c r="H131" s="199"/>
      <c r="I131" s="199"/>
      <c r="J131" s="199"/>
      <c r="K131" s="199"/>
      <c r="L131" s="199"/>
      <c r="M131" s="200"/>
    </row>
    <row r="132" spans="2:13" x14ac:dyDescent="0.25">
      <c r="B132" s="198"/>
      <c r="C132" s="199"/>
      <c r="D132" s="199"/>
      <c r="E132" s="199"/>
      <c r="F132" s="199"/>
      <c r="G132" s="199"/>
      <c r="H132" s="199"/>
      <c r="I132" s="199"/>
      <c r="J132" s="199"/>
      <c r="K132" s="199"/>
      <c r="L132" s="199"/>
      <c r="M132" s="200"/>
    </row>
    <row r="133" spans="2:13" x14ac:dyDescent="0.25">
      <c r="B133" s="198"/>
      <c r="C133" s="199"/>
      <c r="D133" s="199"/>
      <c r="E133" s="199"/>
      <c r="F133" s="199"/>
      <c r="G133" s="199"/>
      <c r="H133" s="199"/>
      <c r="I133" s="199"/>
      <c r="J133" s="199"/>
      <c r="K133" s="199"/>
      <c r="L133" s="199"/>
      <c r="M133" s="200"/>
    </row>
    <row r="134" spans="2:13" x14ac:dyDescent="0.25">
      <c r="B134" s="198"/>
      <c r="C134" s="199"/>
      <c r="D134" s="199"/>
      <c r="E134" s="199"/>
      <c r="F134" s="199"/>
      <c r="G134" s="199"/>
      <c r="H134" s="199"/>
      <c r="I134" s="199"/>
      <c r="J134" s="199"/>
      <c r="K134" s="199"/>
      <c r="L134" s="199"/>
      <c r="M134" s="200"/>
    </row>
    <row r="135" spans="2:13" x14ac:dyDescent="0.25">
      <c r="B135" s="198"/>
      <c r="C135" s="199"/>
      <c r="D135" s="199"/>
      <c r="E135" s="199"/>
      <c r="F135" s="199"/>
      <c r="G135" s="199"/>
      <c r="H135" s="199"/>
      <c r="I135" s="199"/>
      <c r="J135" s="199"/>
      <c r="K135" s="199"/>
      <c r="L135" s="199"/>
      <c r="M135" s="200"/>
    </row>
    <row r="136" spans="2:13" x14ac:dyDescent="0.25">
      <c r="B136" s="198"/>
      <c r="C136" s="199"/>
      <c r="D136" s="199"/>
      <c r="E136" s="199"/>
      <c r="F136" s="199"/>
      <c r="G136" s="199"/>
      <c r="H136" s="199"/>
      <c r="I136" s="199"/>
      <c r="J136" s="199"/>
      <c r="K136" s="199"/>
      <c r="L136" s="199"/>
      <c r="M136" s="200"/>
    </row>
    <row r="137" spans="2:13" x14ac:dyDescent="0.25">
      <c r="B137" s="198"/>
      <c r="C137" s="199"/>
      <c r="D137" s="199"/>
      <c r="E137" s="199"/>
      <c r="F137" s="199"/>
      <c r="G137" s="199"/>
      <c r="H137" s="199"/>
      <c r="I137" s="199"/>
      <c r="J137" s="199"/>
      <c r="K137" s="199"/>
      <c r="L137" s="199"/>
      <c r="M137" s="200"/>
    </row>
    <row r="138" spans="2:13" x14ac:dyDescent="0.25">
      <c r="B138" s="198"/>
      <c r="C138" s="199"/>
      <c r="D138" s="199"/>
      <c r="E138" s="199"/>
      <c r="F138" s="199"/>
      <c r="G138" s="199"/>
      <c r="H138" s="199"/>
      <c r="I138" s="199"/>
      <c r="J138" s="199"/>
      <c r="K138" s="199"/>
      <c r="L138" s="199"/>
      <c r="M138" s="200"/>
    </row>
    <row r="139" spans="2:13" x14ac:dyDescent="0.25">
      <c r="B139" s="198"/>
      <c r="C139" s="199"/>
      <c r="D139" s="199"/>
      <c r="E139" s="199"/>
      <c r="F139" s="199"/>
      <c r="G139" s="199"/>
      <c r="H139" s="199"/>
      <c r="I139" s="199"/>
      <c r="J139" s="199"/>
      <c r="K139" s="199"/>
      <c r="L139" s="199"/>
      <c r="M139" s="200"/>
    </row>
    <row r="140" spans="2:13" x14ac:dyDescent="0.25">
      <c r="B140" s="198"/>
      <c r="C140" s="199"/>
      <c r="D140" s="199"/>
      <c r="E140" s="199"/>
      <c r="F140" s="199"/>
      <c r="G140" s="199"/>
      <c r="H140" s="199"/>
      <c r="I140" s="199"/>
      <c r="J140" s="199"/>
      <c r="K140" s="199"/>
      <c r="L140" s="199"/>
      <c r="M140" s="200"/>
    </row>
    <row r="141" spans="2:13" x14ac:dyDescent="0.25">
      <c r="B141" s="198"/>
      <c r="C141" s="199"/>
      <c r="D141" s="199"/>
      <c r="E141" s="199"/>
      <c r="F141" s="199"/>
      <c r="G141" s="199"/>
      <c r="H141" s="199"/>
      <c r="I141" s="199"/>
      <c r="J141" s="199"/>
      <c r="K141" s="199"/>
      <c r="L141" s="199"/>
      <c r="M141" s="200"/>
    </row>
    <row r="142" spans="2:13" x14ac:dyDescent="0.25">
      <c r="B142" s="198"/>
      <c r="C142" s="199"/>
      <c r="D142" s="199"/>
      <c r="E142" s="199"/>
      <c r="F142" s="199"/>
      <c r="G142" s="199"/>
      <c r="H142" s="199"/>
      <c r="I142" s="199"/>
      <c r="J142" s="199"/>
      <c r="K142" s="199"/>
      <c r="L142" s="199"/>
      <c r="M142" s="200"/>
    </row>
    <row r="143" spans="2:13" x14ac:dyDescent="0.25">
      <c r="B143" s="198"/>
      <c r="C143" s="199"/>
      <c r="D143" s="199"/>
      <c r="E143" s="199"/>
      <c r="F143" s="199"/>
      <c r="G143" s="199"/>
      <c r="H143" s="199"/>
      <c r="I143" s="199"/>
      <c r="J143" s="199"/>
      <c r="K143" s="199"/>
      <c r="L143" s="199"/>
      <c r="M143" s="200"/>
    </row>
    <row r="144" spans="2:13" x14ac:dyDescent="0.25">
      <c r="B144" s="198"/>
      <c r="C144" s="199"/>
      <c r="D144" s="199"/>
      <c r="E144" s="199"/>
      <c r="F144" s="199"/>
      <c r="G144" s="199"/>
      <c r="H144" s="199"/>
      <c r="I144" s="199"/>
      <c r="J144" s="199"/>
      <c r="K144" s="199"/>
      <c r="L144" s="199"/>
      <c r="M144" s="200"/>
    </row>
    <row r="145" spans="2:13" x14ac:dyDescent="0.25">
      <c r="B145" s="198"/>
      <c r="C145" s="199"/>
      <c r="D145" s="199"/>
      <c r="E145" s="199"/>
      <c r="F145" s="199"/>
      <c r="G145" s="199"/>
      <c r="H145" s="199"/>
      <c r="I145" s="199"/>
      <c r="J145" s="199"/>
      <c r="K145" s="199"/>
      <c r="L145" s="199"/>
      <c r="M145" s="200"/>
    </row>
    <row r="146" spans="2:13" ht="12" thickBot="1" x14ac:dyDescent="0.3">
      <c r="B146" s="201"/>
      <c r="C146" s="202"/>
      <c r="D146" s="202"/>
      <c r="E146" s="202"/>
      <c r="F146" s="202"/>
      <c r="G146" s="202"/>
      <c r="H146" s="202"/>
      <c r="I146" s="202"/>
      <c r="J146" s="202"/>
      <c r="K146" s="202"/>
      <c r="L146" s="202"/>
      <c r="M146" s="203"/>
    </row>
  </sheetData>
  <sheetProtection algorithmName="SHA-512" hashValue="Mvlwbn6jIiUrR8sTcV9fk17FcFHPi53tAbhdSWODmtFqxdjRN0WrE2bJsGcBBoMGGSZMSHAer0r/ttunDqb3kw==" saltValue="YvmYo9sYMEReGpbdxwwe9g==" spinCount="100000" sheet="1" formatColumns="0" formatRows="0"/>
  <mergeCells count="18">
    <mergeCell ref="C2:F2"/>
    <mergeCell ref="C3:F3"/>
    <mergeCell ref="C79:M79"/>
    <mergeCell ref="C85:M85"/>
    <mergeCell ref="C37:M37"/>
    <mergeCell ref="C67:M67"/>
    <mergeCell ref="C36:M36"/>
    <mergeCell ref="C43:M43"/>
    <mergeCell ref="C91:M91"/>
    <mergeCell ref="C49:M49"/>
    <mergeCell ref="C73:M73"/>
    <mergeCell ref="C55:M55"/>
    <mergeCell ref="C61:M61"/>
    <mergeCell ref="C97:M97"/>
    <mergeCell ref="C103:M103"/>
    <mergeCell ref="C109:M109"/>
    <mergeCell ref="C115:M115"/>
    <mergeCell ref="C121:M121"/>
  </mergeCells>
  <phoneticPr fontId="6" type="noConversion"/>
  <pageMargins left="0.25" right="0.25" top="0.75" bottom="0.75" header="0.3" footer="0.3"/>
  <pageSetup paperSize="9" scale="54" orientation="portrait" horizontalDpi="4294967292" r:id="rId1"/>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72704-4AE2-49F9-BB0B-559580DF1217}">
  <sheetPr codeName="Sheet2">
    <tabColor rgb="FFFFFF00"/>
  </sheetPr>
  <dimension ref="A1:EL225"/>
  <sheetViews>
    <sheetView showGridLines="0" topLeftCell="A22" zoomScale="90" zoomScaleNormal="90" zoomScaleSheetLayoutView="70" workbookViewId="0">
      <selection activeCell="E60" activeCellId="1" sqref="E36 E60"/>
    </sheetView>
  </sheetViews>
  <sheetFormatPr defaultColWidth="0" defaultRowHeight="13.5" zeroHeight="1" x14ac:dyDescent="0.25"/>
  <cols>
    <col min="1" max="1" width="1.453125" style="299" customWidth="1"/>
    <col min="2" max="2" width="1.453125" style="287" customWidth="1"/>
    <col min="3" max="3" width="4.26953125" style="287" customWidth="1"/>
    <col min="4" max="4" width="1.453125" style="287" customWidth="1"/>
    <col min="5" max="5" width="59.26953125" style="287" customWidth="1"/>
    <col min="6" max="6" width="20.26953125" style="302" hidden="1" customWidth="1"/>
    <col min="7" max="7" width="24.1796875" style="287" customWidth="1"/>
    <col min="8" max="8" width="15" style="287" customWidth="1"/>
    <col min="9" max="9" width="24.7265625" style="303" customWidth="1"/>
    <col min="10" max="11" width="1" style="287" customWidth="1"/>
    <col min="12" max="15" width="1.453125" style="287" customWidth="1"/>
    <col min="16" max="79" width="10.7265625" style="287" customWidth="1"/>
    <col min="80" max="80" width="10.453125" style="287" customWidth="1"/>
    <col min="81" max="81" width="4.453125" style="287" customWidth="1"/>
    <col min="82" max="88" width="8.453125" style="287" customWidth="1"/>
    <col min="89" max="142" width="0" style="287" hidden="1" customWidth="1"/>
    <col min="143" max="16384" width="8.453125" style="287" hidden="1"/>
  </cols>
  <sheetData>
    <row r="1" spans="1:85" x14ac:dyDescent="0.25">
      <c r="A1" s="901"/>
      <c r="B1" s="902"/>
      <c r="C1" s="902"/>
      <c r="D1" s="902"/>
      <c r="E1" s="902"/>
      <c r="F1" s="903"/>
      <c r="G1" s="902"/>
      <c r="H1" s="902"/>
      <c r="I1" s="902"/>
      <c r="J1" s="902"/>
      <c r="K1" s="902"/>
      <c r="L1" s="904"/>
      <c r="M1" s="285"/>
      <c r="CF1" s="287" t="s">
        <v>393</v>
      </c>
      <c r="CG1" s="287" t="s">
        <v>394</v>
      </c>
    </row>
    <row r="2" spans="1:85" s="897" customFormat="1" ht="23" x14ac:dyDescent="0.25">
      <c r="A2" s="905" t="s">
        <v>395</v>
      </c>
      <c r="B2" s="895"/>
      <c r="C2" s="894"/>
      <c r="D2" s="894"/>
      <c r="E2" s="894"/>
      <c r="F2" s="896"/>
      <c r="G2" s="894"/>
      <c r="H2" s="894"/>
      <c r="I2" s="894"/>
      <c r="J2" s="894"/>
      <c r="K2" s="894"/>
      <c r="L2" s="906"/>
      <c r="M2" s="894"/>
      <c r="CF2" s="898" t="s">
        <v>396</v>
      </c>
      <c r="CG2" s="898" t="s">
        <v>397</v>
      </c>
    </row>
    <row r="3" spans="1:85" ht="14" thickBot="1" x14ac:dyDescent="0.3">
      <c r="A3" s="907"/>
      <c r="B3" s="294"/>
      <c r="C3" s="295"/>
      <c r="D3" s="295"/>
      <c r="E3" s="295"/>
      <c r="F3" s="296"/>
      <c r="G3" s="295"/>
      <c r="H3" s="295"/>
      <c r="I3" s="295"/>
      <c r="J3" s="295"/>
      <c r="K3" s="295"/>
      <c r="L3" s="908"/>
      <c r="M3" s="295"/>
      <c r="CF3" s="287" t="s">
        <v>398</v>
      </c>
    </row>
    <row r="4" spans="1:85" ht="14" thickBot="1" x14ac:dyDescent="0.3">
      <c r="A4" s="220" t="s">
        <v>327</v>
      </c>
      <c r="B4" s="221"/>
      <c r="C4" s="221"/>
      <c r="D4" s="221"/>
      <c r="E4" s="221"/>
      <c r="F4" s="221"/>
      <c r="G4" s="221"/>
      <c r="H4" s="221"/>
      <c r="I4" s="221"/>
      <c r="J4" s="221"/>
      <c r="K4" s="221"/>
      <c r="L4" s="222"/>
      <c r="M4" s="295"/>
    </row>
    <row r="5" spans="1:85" x14ac:dyDescent="0.25">
      <c r="A5" s="1071" t="s">
        <v>399</v>
      </c>
      <c r="B5" s="282"/>
      <c r="C5" s="282"/>
      <c r="D5" s="282"/>
      <c r="E5" s="282"/>
      <c r="F5" s="282"/>
      <c r="G5" s="282"/>
      <c r="H5" s="282"/>
      <c r="I5" s="282"/>
      <c r="J5" s="276"/>
      <c r="K5" s="276"/>
      <c r="L5" s="277"/>
      <c r="M5" s="295"/>
    </row>
    <row r="6" spans="1:85" x14ac:dyDescent="0.25">
      <c r="A6" s="1071" t="s">
        <v>400</v>
      </c>
      <c r="B6" s="909"/>
      <c r="C6" s="909"/>
      <c r="D6" s="909"/>
      <c r="E6" s="909"/>
      <c r="F6" s="909"/>
      <c r="G6" s="909"/>
      <c r="H6" s="909"/>
      <c r="I6" s="909"/>
      <c r="J6" s="882"/>
      <c r="K6" s="882"/>
      <c r="L6" s="279"/>
      <c r="M6" s="295"/>
    </row>
    <row r="7" spans="1:85" x14ac:dyDescent="0.25">
      <c r="A7" s="1071" t="s">
        <v>401</v>
      </c>
      <c r="B7" s="909"/>
      <c r="C7" s="909"/>
      <c r="D7" s="909"/>
      <c r="E7" s="909"/>
      <c r="F7" s="909"/>
      <c r="G7" s="909"/>
      <c r="H7" s="909"/>
      <c r="I7" s="909"/>
      <c r="J7" s="882"/>
      <c r="K7" s="882"/>
      <c r="L7" s="279"/>
      <c r="M7" s="295"/>
    </row>
    <row r="8" spans="1:85" x14ac:dyDescent="0.25">
      <c r="A8" s="1071" t="s">
        <v>402</v>
      </c>
      <c r="B8" s="909"/>
      <c r="C8" s="909"/>
      <c r="D8" s="909"/>
      <c r="E8" s="909"/>
      <c r="F8" s="909"/>
      <c r="G8" s="909"/>
      <c r="H8" s="909"/>
      <c r="I8" s="909"/>
      <c r="J8" s="882"/>
      <c r="K8" s="882"/>
      <c r="L8" s="279"/>
      <c r="M8" s="295"/>
    </row>
    <row r="9" spans="1:85" x14ac:dyDescent="0.25">
      <c r="A9" s="1071" t="s">
        <v>403</v>
      </c>
      <c r="B9" s="909"/>
      <c r="C9" s="909"/>
      <c r="D9" s="909"/>
      <c r="E9" s="909"/>
      <c r="F9" s="909"/>
      <c r="G9" s="909"/>
      <c r="H9" s="909"/>
      <c r="I9" s="909"/>
      <c r="J9" s="882"/>
      <c r="K9" s="882"/>
      <c r="L9" s="279"/>
      <c r="M9" s="295"/>
    </row>
    <row r="10" spans="1:85" x14ac:dyDescent="0.25">
      <c r="A10" s="1071" t="s">
        <v>404</v>
      </c>
      <c r="B10" s="909"/>
      <c r="C10" s="909"/>
      <c r="D10" s="909"/>
      <c r="E10" s="909"/>
      <c r="F10" s="909"/>
      <c r="G10" s="909"/>
      <c r="H10" s="909"/>
      <c r="I10" s="909"/>
      <c r="J10" s="882"/>
      <c r="K10" s="882"/>
      <c r="L10" s="279"/>
      <c r="M10" s="295"/>
    </row>
    <row r="11" spans="1:85" ht="14" thickBot="1" x14ac:dyDescent="0.3">
      <c r="A11" s="1072" t="s">
        <v>405</v>
      </c>
      <c r="B11" s="283"/>
      <c r="C11" s="283"/>
      <c r="D11" s="283"/>
      <c r="E11" s="283"/>
      <c r="F11" s="283"/>
      <c r="G11" s="283"/>
      <c r="H11" s="283"/>
      <c r="I11" s="283"/>
      <c r="J11" s="280"/>
      <c r="K11" s="280"/>
      <c r="L11" s="281"/>
      <c r="M11" s="295"/>
    </row>
    <row r="12" spans="1:85" x14ac:dyDescent="0.25">
      <c r="A12" s="907"/>
      <c r="B12" s="294"/>
      <c r="C12" s="295"/>
      <c r="D12" s="295"/>
      <c r="E12" s="295"/>
      <c r="F12" s="296"/>
      <c r="G12" s="295"/>
      <c r="H12" s="295"/>
      <c r="I12" s="295"/>
      <c r="J12" s="295"/>
      <c r="K12" s="295"/>
      <c r="L12" s="908"/>
      <c r="M12" s="295"/>
    </row>
    <row r="13" spans="1:85" ht="14.9" customHeight="1" x14ac:dyDescent="0.25">
      <c r="A13" s="907"/>
      <c r="B13" s="295"/>
      <c r="C13" s="295"/>
      <c r="D13" s="295"/>
      <c r="E13" s="295"/>
      <c r="F13" s="296"/>
      <c r="G13" s="295"/>
      <c r="H13" s="295"/>
      <c r="I13" s="295"/>
      <c r="J13" s="295"/>
      <c r="K13" s="295"/>
      <c r="L13" s="908"/>
      <c r="M13" s="298"/>
    </row>
    <row r="14" spans="1:85" ht="14.9" customHeight="1" x14ac:dyDescent="0.25">
      <c r="A14" s="907"/>
      <c r="B14" s="301" t="s">
        <v>406</v>
      </c>
      <c r="C14" s="910"/>
      <c r="D14" s="910"/>
      <c r="E14" s="910"/>
      <c r="F14" s="300"/>
      <c r="G14" s="301" t="s">
        <v>407</v>
      </c>
      <c r="H14" s="301" t="s">
        <v>408</v>
      </c>
      <c r="I14" s="353" t="s">
        <v>409</v>
      </c>
      <c r="J14" s="910"/>
      <c r="K14" s="910"/>
      <c r="L14" s="908"/>
    </row>
    <row r="15" spans="1:85" s="308" customFormat="1" ht="14.9" customHeight="1" x14ac:dyDescent="0.25">
      <c r="A15" s="911"/>
      <c r="B15" s="309"/>
      <c r="C15" s="309"/>
      <c r="D15" s="309"/>
      <c r="E15" s="309"/>
      <c r="F15" s="341"/>
      <c r="G15" s="309"/>
      <c r="H15" s="309"/>
      <c r="I15" s="342"/>
      <c r="J15" s="309"/>
      <c r="K15" s="309"/>
      <c r="L15" s="912"/>
    </row>
    <row r="16" spans="1:85" s="308" customFormat="1" ht="14.9" customHeight="1" x14ac:dyDescent="0.25">
      <c r="A16" s="911"/>
      <c r="B16" s="309"/>
      <c r="C16" s="309"/>
      <c r="D16" s="309"/>
      <c r="E16" s="309" t="s">
        <v>410</v>
      </c>
      <c r="F16" s="341"/>
      <c r="G16" s="321" t="s">
        <v>411</v>
      </c>
      <c r="H16" s="309" t="s">
        <v>412</v>
      </c>
      <c r="I16" s="342"/>
      <c r="J16" s="309"/>
      <c r="K16" s="309"/>
      <c r="L16" s="912"/>
    </row>
    <row r="17" spans="1:81" s="308" customFormat="1" ht="14.9" customHeight="1" x14ac:dyDescent="0.25">
      <c r="A17" s="911"/>
      <c r="B17" s="309"/>
      <c r="C17" s="309"/>
      <c r="D17" s="309"/>
      <c r="E17" s="309"/>
      <c r="F17" s="341"/>
      <c r="G17" s="309"/>
      <c r="H17" s="309"/>
      <c r="I17" s="342"/>
      <c r="J17" s="309"/>
      <c r="K17" s="309"/>
      <c r="L17" s="912"/>
    </row>
    <row r="18" spans="1:81" s="308" customFormat="1" ht="14.9" customHeight="1" x14ac:dyDescent="0.25">
      <c r="A18" s="911"/>
      <c r="B18" s="312" t="s">
        <v>114</v>
      </c>
      <c r="C18" s="313"/>
      <c r="D18" s="313"/>
      <c r="E18" s="313"/>
      <c r="F18" s="322"/>
      <c r="G18" s="312" t="s">
        <v>407</v>
      </c>
      <c r="H18" s="312" t="s">
        <v>408</v>
      </c>
      <c r="I18" s="354" t="s">
        <v>409</v>
      </c>
      <c r="J18" s="313"/>
      <c r="K18" s="313"/>
      <c r="L18" s="912"/>
      <c r="P18" s="315">
        <f>'ORT aansluitingen'!$I$13</f>
        <v>1900</v>
      </c>
      <c r="Q18" s="315">
        <f t="shared" ref="Q18:AV18" si="0" xml:space="preserve"> P18 + 1</f>
        <v>1901</v>
      </c>
      <c r="R18" s="315">
        <f t="shared" si="0"/>
        <v>1902</v>
      </c>
      <c r="S18" s="315">
        <f t="shared" si="0"/>
        <v>1903</v>
      </c>
      <c r="T18" s="315">
        <f t="shared" si="0"/>
        <v>1904</v>
      </c>
      <c r="U18" s="315">
        <f t="shared" si="0"/>
        <v>1905</v>
      </c>
      <c r="V18" s="315">
        <f t="shared" si="0"/>
        <v>1906</v>
      </c>
      <c r="W18" s="315">
        <f t="shared" si="0"/>
        <v>1907</v>
      </c>
      <c r="X18" s="315">
        <f t="shared" si="0"/>
        <v>1908</v>
      </c>
      <c r="Y18" s="315">
        <f t="shared" si="0"/>
        <v>1909</v>
      </c>
      <c r="Z18" s="315">
        <f t="shared" si="0"/>
        <v>1910</v>
      </c>
      <c r="AA18" s="315">
        <f t="shared" si="0"/>
        <v>1911</v>
      </c>
      <c r="AB18" s="315">
        <f t="shared" si="0"/>
        <v>1912</v>
      </c>
      <c r="AC18" s="315">
        <f t="shared" si="0"/>
        <v>1913</v>
      </c>
      <c r="AD18" s="315">
        <f t="shared" si="0"/>
        <v>1914</v>
      </c>
      <c r="AE18" s="315">
        <f t="shared" si="0"/>
        <v>1915</v>
      </c>
      <c r="AF18" s="315">
        <f t="shared" si="0"/>
        <v>1916</v>
      </c>
      <c r="AG18" s="315">
        <f t="shared" si="0"/>
        <v>1917</v>
      </c>
      <c r="AH18" s="315">
        <f t="shared" si="0"/>
        <v>1918</v>
      </c>
      <c r="AI18" s="315">
        <f t="shared" si="0"/>
        <v>1919</v>
      </c>
      <c r="AJ18" s="315">
        <f t="shared" si="0"/>
        <v>1920</v>
      </c>
      <c r="AK18" s="315">
        <f t="shared" si="0"/>
        <v>1921</v>
      </c>
      <c r="AL18" s="315">
        <f t="shared" si="0"/>
        <v>1922</v>
      </c>
      <c r="AM18" s="315">
        <f t="shared" si="0"/>
        <v>1923</v>
      </c>
      <c r="AN18" s="315">
        <f t="shared" si="0"/>
        <v>1924</v>
      </c>
      <c r="AO18" s="315">
        <f t="shared" si="0"/>
        <v>1925</v>
      </c>
      <c r="AP18" s="315">
        <f t="shared" si="0"/>
        <v>1926</v>
      </c>
      <c r="AQ18" s="315">
        <f t="shared" si="0"/>
        <v>1927</v>
      </c>
      <c r="AR18" s="315">
        <f t="shared" si="0"/>
        <v>1928</v>
      </c>
      <c r="AS18" s="315">
        <f t="shared" si="0"/>
        <v>1929</v>
      </c>
      <c r="AT18" s="315">
        <f t="shared" si="0"/>
        <v>1930</v>
      </c>
      <c r="AU18" s="315">
        <f t="shared" si="0"/>
        <v>1931</v>
      </c>
      <c r="AV18" s="315">
        <f t="shared" si="0"/>
        <v>1932</v>
      </c>
      <c r="AW18" s="315">
        <f t="shared" ref="AW18:BW18" si="1" xml:space="preserve"> AV18 + 1</f>
        <v>1933</v>
      </c>
      <c r="AX18" s="315">
        <f t="shared" si="1"/>
        <v>1934</v>
      </c>
      <c r="AY18" s="315">
        <f t="shared" si="1"/>
        <v>1935</v>
      </c>
      <c r="AZ18" s="315">
        <f t="shared" si="1"/>
        <v>1936</v>
      </c>
      <c r="BA18" s="315">
        <f t="shared" si="1"/>
        <v>1937</v>
      </c>
      <c r="BB18" s="315">
        <f t="shared" si="1"/>
        <v>1938</v>
      </c>
      <c r="BC18" s="315">
        <f t="shared" si="1"/>
        <v>1939</v>
      </c>
      <c r="BD18" s="315">
        <f t="shared" si="1"/>
        <v>1940</v>
      </c>
      <c r="BE18" s="315">
        <f t="shared" si="1"/>
        <v>1941</v>
      </c>
      <c r="BF18" s="315">
        <f t="shared" si="1"/>
        <v>1942</v>
      </c>
      <c r="BG18" s="315">
        <f t="shared" si="1"/>
        <v>1943</v>
      </c>
      <c r="BH18" s="315">
        <f t="shared" si="1"/>
        <v>1944</v>
      </c>
      <c r="BI18" s="315">
        <f t="shared" si="1"/>
        <v>1945</v>
      </c>
      <c r="BJ18" s="315">
        <f t="shared" si="1"/>
        <v>1946</v>
      </c>
      <c r="BK18" s="315">
        <f t="shared" si="1"/>
        <v>1947</v>
      </c>
      <c r="BL18" s="315">
        <f t="shared" si="1"/>
        <v>1948</v>
      </c>
      <c r="BM18" s="315">
        <f t="shared" si="1"/>
        <v>1949</v>
      </c>
      <c r="BN18" s="315">
        <f t="shared" si="1"/>
        <v>1950</v>
      </c>
      <c r="BO18" s="315">
        <f t="shared" si="1"/>
        <v>1951</v>
      </c>
      <c r="BP18" s="315">
        <f t="shared" si="1"/>
        <v>1952</v>
      </c>
      <c r="BQ18" s="315">
        <f t="shared" si="1"/>
        <v>1953</v>
      </c>
      <c r="BR18" s="315">
        <f t="shared" si="1"/>
        <v>1954</v>
      </c>
      <c r="BS18" s="315">
        <f t="shared" si="1"/>
        <v>1955</v>
      </c>
      <c r="BT18" s="315">
        <f t="shared" si="1"/>
        <v>1956</v>
      </c>
      <c r="BU18" s="315">
        <f t="shared" si="1"/>
        <v>1957</v>
      </c>
      <c r="BV18" s="315">
        <f t="shared" si="1"/>
        <v>1958</v>
      </c>
      <c r="BW18" s="315">
        <f t="shared" si="1"/>
        <v>1959</v>
      </c>
      <c r="BX18" s="310"/>
      <c r="BY18" s="310"/>
      <c r="BZ18" s="310"/>
      <c r="CA18" s="310"/>
      <c r="CB18" s="310"/>
      <c r="CC18" s="310"/>
    </row>
    <row r="19" spans="1:81" s="308" customFormat="1" ht="14.9" customHeight="1" x14ac:dyDescent="0.25">
      <c r="A19" s="911"/>
      <c r="B19" s="309"/>
      <c r="C19" s="316" t="s">
        <v>413</v>
      </c>
      <c r="D19" s="309"/>
      <c r="E19" s="309"/>
      <c r="F19" s="341"/>
      <c r="G19" s="309"/>
      <c r="H19" s="309"/>
      <c r="I19" s="342"/>
      <c r="J19" s="309"/>
      <c r="K19" s="309"/>
      <c r="L19" s="912"/>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row>
    <row r="20" spans="1:81" s="308" customFormat="1" ht="14.9" customHeight="1" x14ac:dyDescent="0.25">
      <c r="A20" s="911"/>
      <c r="B20" s="309"/>
      <c r="C20" s="309"/>
      <c r="D20" s="309"/>
      <c r="E20" s="309" t="s">
        <v>414</v>
      </c>
      <c r="F20" s="341"/>
      <c r="G20" s="323">
        <v>0.19</v>
      </c>
      <c r="H20" s="309" t="s">
        <v>415</v>
      </c>
      <c r="I20" s="342"/>
      <c r="J20" s="309"/>
      <c r="K20" s="309"/>
      <c r="L20" s="912"/>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24"/>
      <c r="BG20" s="324"/>
      <c r="BH20" s="324"/>
      <c r="BI20" s="324"/>
      <c r="BJ20" s="324"/>
      <c r="BK20" s="324"/>
      <c r="BL20" s="324"/>
      <c r="BM20" s="324"/>
      <c r="BN20" s="324"/>
      <c r="BO20" s="324"/>
      <c r="BP20" s="324"/>
      <c r="BQ20" s="324"/>
      <c r="BR20" s="324"/>
      <c r="BS20" s="324"/>
      <c r="BT20" s="324"/>
      <c r="BU20" s="324"/>
      <c r="BV20" s="324"/>
      <c r="BW20" s="324"/>
      <c r="BX20" s="310"/>
      <c r="BY20" s="310"/>
      <c r="BZ20" s="310"/>
      <c r="CA20" s="310"/>
      <c r="CB20" s="310"/>
      <c r="CC20" s="310"/>
    </row>
    <row r="21" spans="1:81" s="308" customFormat="1" ht="14.9" customHeight="1" x14ac:dyDescent="0.25">
      <c r="A21" s="911"/>
      <c r="B21" s="309"/>
      <c r="C21" s="309"/>
      <c r="D21" s="309"/>
      <c r="E21" s="309" t="s">
        <v>416</v>
      </c>
      <c r="F21" s="341"/>
      <c r="G21" s="323">
        <v>0.25800000000000001</v>
      </c>
      <c r="H21" s="309" t="s">
        <v>415</v>
      </c>
      <c r="I21" s="342"/>
      <c r="J21" s="309"/>
      <c r="K21" s="309"/>
      <c r="L21" s="912"/>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10"/>
      <c r="BY21" s="310"/>
      <c r="BZ21" s="310"/>
      <c r="CA21" s="310"/>
      <c r="CB21" s="310"/>
      <c r="CC21" s="310"/>
    </row>
    <row r="22" spans="1:81" s="308" customFormat="1" ht="14.9" customHeight="1" x14ac:dyDescent="0.25">
      <c r="A22" s="911"/>
      <c r="B22" s="309"/>
      <c r="C22" s="309"/>
      <c r="D22" s="309"/>
      <c r="E22" s="309" t="s">
        <v>417</v>
      </c>
      <c r="F22" s="341"/>
      <c r="G22" s="325">
        <v>200000</v>
      </c>
      <c r="H22" s="309"/>
      <c r="I22" s="342"/>
      <c r="J22" s="309"/>
      <c r="K22" s="309"/>
      <c r="L22" s="912"/>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10"/>
      <c r="BY22" s="310"/>
      <c r="BZ22" s="310"/>
      <c r="CA22" s="310"/>
      <c r="CB22" s="310"/>
      <c r="CC22" s="310"/>
    </row>
    <row r="23" spans="1:81" s="308" customFormat="1" ht="14.9" customHeight="1" x14ac:dyDescent="0.25">
      <c r="A23" s="911"/>
      <c r="B23" s="309"/>
      <c r="C23" s="309"/>
      <c r="D23" s="309"/>
      <c r="E23" s="310" t="s">
        <v>418</v>
      </c>
      <c r="F23" s="341"/>
      <c r="G23" s="326" t="s">
        <v>397</v>
      </c>
      <c r="H23" s="310"/>
      <c r="I23" s="342"/>
      <c r="J23" s="309"/>
      <c r="K23" s="309"/>
      <c r="L23" s="912"/>
    </row>
    <row r="24" spans="1:81" s="308" customFormat="1" ht="14.9" customHeight="1" x14ac:dyDescent="0.25">
      <c r="A24" s="911"/>
      <c r="B24" s="309"/>
      <c r="C24" s="316" t="s">
        <v>419</v>
      </c>
      <c r="D24" s="309"/>
      <c r="E24" s="309"/>
      <c r="F24" s="341"/>
      <c r="G24" s="309"/>
      <c r="H24" s="309"/>
      <c r="I24" s="342"/>
      <c r="J24" s="309"/>
      <c r="K24" s="309"/>
      <c r="L24" s="912"/>
      <c r="M24" s="309"/>
    </row>
    <row r="25" spans="1:81" s="308" customFormat="1" ht="14.9" customHeight="1" x14ac:dyDescent="0.25">
      <c r="A25" s="911"/>
      <c r="B25" s="309"/>
      <c r="C25" s="309"/>
      <c r="D25" s="309"/>
      <c r="E25" s="310" t="s">
        <v>420</v>
      </c>
      <c r="F25" s="327"/>
      <c r="G25" s="323">
        <v>3.5000000000000001E-3</v>
      </c>
      <c r="H25" s="309" t="s">
        <v>421</v>
      </c>
      <c r="I25" s="342"/>
      <c r="J25" s="309"/>
      <c r="K25" s="309"/>
      <c r="L25" s="912"/>
      <c r="M25" s="309"/>
    </row>
    <row r="26" spans="1:81" s="308" customFormat="1" ht="14.9" customHeight="1" x14ac:dyDescent="0.25">
      <c r="A26" s="911"/>
      <c r="B26" s="309"/>
      <c r="C26" s="309"/>
      <c r="D26" s="309"/>
      <c r="E26" s="309"/>
      <c r="F26" s="341"/>
      <c r="G26" s="309"/>
      <c r="H26" s="309"/>
      <c r="I26" s="342"/>
      <c r="J26" s="309"/>
      <c r="K26" s="309"/>
      <c r="L26" s="912"/>
    </row>
    <row r="27" spans="1:81" s="308" customFormat="1" ht="14.9" customHeight="1" x14ac:dyDescent="0.25">
      <c r="A27" s="911"/>
      <c r="B27" s="312" t="s">
        <v>422</v>
      </c>
      <c r="C27" s="312"/>
      <c r="D27" s="312"/>
      <c r="E27" s="312"/>
      <c r="F27" s="322"/>
      <c r="G27" s="312" t="s">
        <v>407</v>
      </c>
      <c r="H27" s="312" t="s">
        <v>408</v>
      </c>
      <c r="I27" s="354" t="s">
        <v>409</v>
      </c>
      <c r="J27" s="312"/>
      <c r="K27" s="312"/>
      <c r="L27" s="912"/>
    </row>
    <row r="28" spans="1:81" s="308" customFormat="1" ht="14.9" customHeight="1" x14ac:dyDescent="0.25">
      <c r="A28" s="911"/>
      <c r="B28" s="309"/>
      <c r="C28" s="309"/>
      <c r="D28" s="309"/>
      <c r="E28" s="309"/>
      <c r="F28" s="341"/>
      <c r="G28" s="309"/>
      <c r="H28" s="309"/>
      <c r="I28" s="342"/>
      <c r="J28" s="309"/>
      <c r="K28" s="309"/>
      <c r="L28" s="912"/>
    </row>
    <row r="29" spans="1:81" s="308" customFormat="1" ht="14.9" customHeight="1" x14ac:dyDescent="0.25">
      <c r="A29" s="911"/>
      <c r="B29" s="309"/>
      <c r="C29" s="309"/>
      <c r="D29" s="309"/>
      <c r="E29" s="309" t="s">
        <v>422</v>
      </c>
      <c r="F29" s="341"/>
      <c r="G29" s="323">
        <f>Rend_na_bel</f>
        <v>5.1999999999999998E-2</v>
      </c>
      <c r="H29" s="309" t="s">
        <v>423</v>
      </c>
      <c r="I29" s="316" t="s">
        <v>424</v>
      </c>
      <c r="J29" s="309"/>
      <c r="K29" s="309"/>
      <c r="L29" s="912"/>
    </row>
    <row r="30" spans="1:81" s="308" customFormat="1" ht="14.9" customHeight="1" x14ac:dyDescent="0.25">
      <c r="A30" s="911"/>
      <c r="B30" s="309"/>
      <c r="C30" s="309"/>
      <c r="D30" s="309"/>
      <c r="E30" s="309"/>
      <c r="F30" s="341"/>
      <c r="G30" s="309"/>
      <c r="H30" s="309"/>
      <c r="I30" s="342"/>
      <c r="J30" s="309"/>
      <c r="K30" s="309"/>
      <c r="L30" s="912"/>
    </row>
    <row r="31" spans="1:81" s="308" customFormat="1" ht="14.9" customHeight="1" x14ac:dyDescent="0.25">
      <c r="A31" s="911"/>
      <c r="B31" s="312" t="s">
        <v>425</v>
      </c>
      <c r="C31" s="313"/>
      <c r="D31" s="313"/>
      <c r="E31" s="313"/>
      <c r="F31" s="322"/>
      <c r="G31" s="312" t="s">
        <v>407</v>
      </c>
      <c r="H31" s="312" t="s">
        <v>408</v>
      </c>
      <c r="I31" s="354" t="s">
        <v>409</v>
      </c>
      <c r="J31" s="313"/>
      <c r="K31" s="313"/>
      <c r="L31" s="912"/>
      <c r="M31" s="309"/>
    </row>
    <row r="32" spans="1:81" s="311" customFormat="1" ht="14.9" customHeight="1" x14ac:dyDescent="0.25">
      <c r="A32" s="911"/>
      <c r="B32" s="310"/>
      <c r="C32" s="316" t="s">
        <v>426</v>
      </c>
      <c r="D32" s="310"/>
      <c r="E32" s="310"/>
      <c r="F32" s="328"/>
      <c r="G32" s="310"/>
      <c r="H32" s="310"/>
      <c r="I32" s="320"/>
      <c r="J32" s="310"/>
      <c r="K32" s="310"/>
      <c r="L32" s="913"/>
      <c r="M32" s="310"/>
      <c r="P32" s="308"/>
      <c r="Q32" s="308"/>
    </row>
    <row r="33" spans="1:18" s="308" customFormat="1" ht="14.9" customHeight="1" x14ac:dyDescent="0.25">
      <c r="A33" s="911"/>
      <c r="B33" s="309"/>
      <c r="C33" s="309"/>
      <c r="D33" s="309"/>
      <c r="E33" s="309" t="s">
        <v>427</v>
      </c>
      <c r="F33" s="328"/>
      <c r="G33" s="329"/>
      <c r="H33" s="309" t="s">
        <v>428</v>
      </c>
      <c r="I33" s="330"/>
      <c r="J33" s="331"/>
      <c r="K33" s="331"/>
      <c r="L33" s="912"/>
      <c r="M33" s="309"/>
      <c r="P33" s="311"/>
      <c r="Q33" s="311"/>
    </row>
    <row r="34" spans="1:18" s="308" customFormat="1" ht="14.9" customHeight="1" x14ac:dyDescent="0.25">
      <c r="A34" s="911"/>
      <c r="B34" s="309"/>
      <c r="C34" s="309"/>
      <c r="D34" s="309"/>
      <c r="E34" s="309" t="s">
        <v>429</v>
      </c>
      <c r="F34" s="328"/>
      <c r="G34" s="385">
        <f>VLOOKUP(G16,ORT_Lijsten!$B$3:$G$5,2)</f>
        <v>481.67</v>
      </c>
      <c r="H34" s="309" t="s">
        <v>430</v>
      </c>
      <c r="I34" s="330"/>
      <c r="J34" s="331"/>
      <c r="K34" s="331"/>
      <c r="L34" s="912"/>
      <c r="M34" s="309"/>
      <c r="P34" s="311"/>
      <c r="Q34" s="311"/>
    </row>
    <row r="35" spans="1:18" s="308" customFormat="1" ht="14.9" customHeight="1" x14ac:dyDescent="0.25">
      <c r="A35" s="911"/>
      <c r="B35" s="309"/>
      <c r="C35" s="332"/>
      <c r="D35" s="309"/>
      <c r="E35" s="309" t="s">
        <v>211</v>
      </c>
      <c r="F35" s="328"/>
      <c r="G35" s="329"/>
      <c r="H35" s="309" t="s">
        <v>430</v>
      </c>
      <c r="I35" s="330"/>
      <c r="J35" s="331"/>
      <c r="K35" s="331"/>
      <c r="L35" s="912"/>
      <c r="M35" s="309"/>
      <c r="P35" s="311"/>
      <c r="Q35" s="311"/>
    </row>
    <row r="36" spans="1:18" s="308" customFormat="1" ht="14.9" customHeight="1" x14ac:dyDescent="0.25">
      <c r="A36" s="911"/>
      <c r="B36" s="309"/>
      <c r="C36" s="332"/>
      <c r="D36" s="309"/>
      <c r="E36" s="914" t="str">
        <f>IF(G35&gt;G34,"LET OP, HET INGEVOERDE VASTRECHT IS HOGER DAN HET ACM MAXIMUM","")</f>
        <v/>
      </c>
      <c r="F36" s="328"/>
      <c r="G36" s="309"/>
      <c r="H36" s="309"/>
      <c r="I36" s="330"/>
      <c r="J36" s="331"/>
      <c r="K36" s="331"/>
      <c r="L36" s="912"/>
      <c r="M36" s="309"/>
      <c r="P36" s="311"/>
      <c r="Q36" s="311"/>
    </row>
    <row r="37" spans="1:18" s="308" customFormat="1" ht="14.9" customHeight="1" x14ac:dyDescent="0.25">
      <c r="A37" s="911"/>
      <c r="B37" s="309"/>
      <c r="C37" s="332"/>
      <c r="D37" s="309"/>
      <c r="E37" s="309"/>
      <c r="F37" s="328"/>
      <c r="G37" s="309"/>
      <c r="H37" s="309"/>
      <c r="I37" s="330"/>
      <c r="J37" s="331"/>
      <c r="K37" s="331"/>
      <c r="L37" s="912"/>
      <c r="M37" s="309"/>
      <c r="P37" s="311"/>
      <c r="Q37" s="311"/>
    </row>
    <row r="38" spans="1:18" s="308" customFormat="1" ht="14.9" customHeight="1" x14ac:dyDescent="0.25">
      <c r="A38" s="911"/>
      <c r="B38" s="309"/>
      <c r="C38" s="332"/>
      <c r="D38" s="309"/>
      <c r="E38" s="309" t="s">
        <v>431</v>
      </c>
      <c r="F38" s="328"/>
      <c r="G38" s="333">
        <f>meettarief</f>
        <v>26.18</v>
      </c>
      <c r="H38" s="309" t="s">
        <v>430</v>
      </c>
      <c r="I38" s="330"/>
      <c r="J38" s="331"/>
      <c r="K38" s="331"/>
      <c r="L38" s="912"/>
      <c r="M38" s="309"/>
      <c r="P38" s="311"/>
      <c r="Q38" s="311"/>
    </row>
    <row r="39" spans="1:18" s="308" customFormat="1" ht="14.9" customHeight="1" x14ac:dyDescent="0.25">
      <c r="A39" s="911"/>
      <c r="B39" s="309"/>
      <c r="C39" s="309"/>
      <c r="D39" s="309"/>
      <c r="E39" s="309" t="s">
        <v>432</v>
      </c>
      <c r="F39" s="328"/>
      <c r="G39" s="333">
        <f>VLOOKUP(G16,ORT_Lijsten!$B$3:$G$5,3)</f>
        <v>120.15</v>
      </c>
      <c r="H39" s="309" t="s">
        <v>430</v>
      </c>
      <c r="I39" s="330"/>
      <c r="J39" s="331"/>
      <c r="K39" s="331"/>
      <c r="L39" s="912"/>
      <c r="M39" s="309"/>
      <c r="P39" s="311"/>
      <c r="Q39" s="311"/>
    </row>
    <row r="40" spans="1:18" s="308" customFormat="1" ht="14.9" customHeight="1" x14ac:dyDescent="0.25">
      <c r="A40" s="911"/>
      <c r="B40" s="309"/>
      <c r="C40" s="309"/>
      <c r="D40" s="309"/>
      <c r="E40" s="309" t="s">
        <v>433</v>
      </c>
      <c r="F40" s="328"/>
      <c r="G40" s="329"/>
      <c r="H40" s="309"/>
      <c r="I40" s="330"/>
      <c r="J40" s="331"/>
      <c r="K40" s="331"/>
      <c r="L40" s="912"/>
      <c r="M40" s="309"/>
      <c r="P40" s="311"/>
      <c r="Q40" s="311"/>
    </row>
    <row r="41" spans="1:18" s="308" customFormat="1" ht="14.9" customHeight="1" x14ac:dyDescent="0.25">
      <c r="A41" s="911"/>
      <c r="B41" s="309"/>
      <c r="C41" s="332"/>
      <c r="D41" s="309"/>
      <c r="E41" s="309" t="s">
        <v>434</v>
      </c>
      <c r="F41" s="328"/>
      <c r="G41" s="333">
        <f>VLOOKUP(G16,ORT_Lijsten!$B$3:$G$5,IF(G40=ORT_Lijsten!E2,4,5))</f>
        <v>14</v>
      </c>
      <c r="H41" s="309" t="s">
        <v>435</v>
      </c>
      <c r="I41" s="330"/>
      <c r="J41" s="331"/>
      <c r="K41" s="331"/>
      <c r="L41" s="912"/>
      <c r="M41" s="309"/>
      <c r="P41" s="318"/>
      <c r="Q41" s="311"/>
    </row>
    <row r="42" spans="1:18" s="308" customFormat="1" ht="14.9" customHeight="1" x14ac:dyDescent="0.25">
      <c r="A42" s="911"/>
      <c r="B42" s="309"/>
      <c r="C42" s="332"/>
      <c r="D42" s="309"/>
      <c r="E42" s="309" t="s">
        <v>436</v>
      </c>
      <c r="F42" s="328"/>
      <c r="G42" s="504">
        <v>100</v>
      </c>
      <c r="H42" s="309" t="s">
        <v>437</v>
      </c>
      <c r="I42" s="330"/>
      <c r="J42" s="331"/>
      <c r="K42" s="331"/>
      <c r="L42" s="912"/>
      <c r="M42" s="309"/>
      <c r="P42" s="318"/>
      <c r="Q42" s="311"/>
    </row>
    <row r="43" spans="1:18" s="308" customFormat="1" ht="14.9" customHeight="1" x14ac:dyDescent="0.25">
      <c r="A43" s="911"/>
      <c r="B43" s="309"/>
      <c r="C43" s="332"/>
      <c r="D43" s="309"/>
      <c r="E43" s="309"/>
      <c r="F43" s="328"/>
      <c r="G43" s="401"/>
      <c r="H43" s="309"/>
      <c r="I43" s="330"/>
      <c r="J43" s="331"/>
      <c r="K43" s="331"/>
      <c r="L43" s="912"/>
      <c r="M43" s="309"/>
      <c r="P43" s="318"/>
      <c r="Q43" s="311"/>
    </row>
    <row r="44" spans="1:18" s="308" customFormat="1" ht="14.9" customHeight="1" x14ac:dyDescent="0.25">
      <c r="A44" s="911"/>
      <c r="B44" s="312" t="s">
        <v>438</v>
      </c>
      <c r="C44" s="313"/>
      <c r="D44" s="313"/>
      <c r="E44" s="313"/>
      <c r="F44" s="322"/>
      <c r="G44" s="312" t="s">
        <v>407</v>
      </c>
      <c r="H44" s="312" t="s">
        <v>408</v>
      </c>
      <c r="I44" s="354" t="s">
        <v>409</v>
      </c>
      <c r="J44" s="312"/>
      <c r="K44" s="312"/>
      <c r="L44" s="912"/>
      <c r="R44" s="335"/>
    </row>
    <row r="45" spans="1:18" s="308" customFormat="1" ht="14.9" customHeight="1" x14ac:dyDescent="0.25">
      <c r="A45" s="911"/>
      <c r="B45" s="309"/>
      <c r="C45" s="316" t="s">
        <v>439</v>
      </c>
      <c r="D45" s="309"/>
      <c r="E45" s="915"/>
      <c r="F45" s="341"/>
      <c r="G45" s="309"/>
      <c r="H45" s="309"/>
      <c r="I45" s="342"/>
      <c r="J45" s="309"/>
      <c r="K45" s="309"/>
      <c r="L45" s="912"/>
    </row>
    <row r="46" spans="1:18" s="308" customFormat="1" ht="14.9" customHeight="1" x14ac:dyDescent="0.25">
      <c r="A46" s="911"/>
      <c r="B46" s="309"/>
      <c r="C46" s="309"/>
      <c r="D46" s="309"/>
      <c r="E46" s="336" t="s">
        <v>440</v>
      </c>
      <c r="F46" s="337"/>
      <c r="G46" s="323">
        <v>0.01</v>
      </c>
      <c r="H46" s="309" t="s">
        <v>441</v>
      </c>
      <c r="I46" s="330"/>
      <c r="J46" s="309"/>
      <c r="K46" s="309"/>
      <c r="L46" s="912"/>
    </row>
    <row r="47" spans="1:18" s="308" customFormat="1" ht="14.9" customHeight="1" x14ac:dyDescent="0.25">
      <c r="A47" s="911"/>
      <c r="B47" s="309"/>
      <c r="C47" s="316" t="s">
        <v>442</v>
      </c>
      <c r="D47" s="309"/>
      <c r="E47" s="336"/>
      <c r="F47" s="337"/>
      <c r="G47" s="336"/>
      <c r="H47" s="309"/>
      <c r="I47" s="342"/>
      <c r="J47" s="309"/>
      <c r="K47" s="309"/>
      <c r="L47" s="912"/>
    </row>
    <row r="48" spans="1:18" s="308" customFormat="1" ht="14.9" customHeight="1" x14ac:dyDescent="0.25">
      <c r="A48" s="911"/>
      <c r="B48" s="309"/>
      <c r="C48" s="309"/>
      <c r="D48" s="309"/>
      <c r="E48" s="336" t="s">
        <v>443</v>
      </c>
      <c r="F48" s="337"/>
      <c r="G48" s="323">
        <v>0.03</v>
      </c>
      <c r="H48" s="309" t="s">
        <v>441</v>
      </c>
      <c r="I48" s="330"/>
      <c r="J48" s="309"/>
      <c r="K48" s="309"/>
      <c r="L48" s="912"/>
    </row>
    <row r="49" spans="1:139" s="308" customFormat="1" ht="14.9" customHeight="1" x14ac:dyDescent="0.25">
      <c r="A49" s="911"/>
      <c r="B49" s="309"/>
      <c r="C49" s="316" t="s">
        <v>444</v>
      </c>
      <c r="D49" s="309"/>
      <c r="E49" s="915"/>
      <c r="F49" s="341"/>
      <c r="G49" s="309"/>
      <c r="H49" s="309"/>
      <c r="I49" s="342"/>
      <c r="J49" s="309"/>
      <c r="K49" s="309"/>
      <c r="L49" s="912"/>
    </row>
    <row r="50" spans="1:139" s="308" customFormat="1" ht="14.9" customHeight="1" x14ac:dyDescent="0.25">
      <c r="A50" s="911"/>
      <c r="B50" s="309"/>
      <c r="C50" s="309"/>
      <c r="D50" s="309"/>
      <c r="E50" s="334" t="s">
        <v>445</v>
      </c>
      <c r="F50" s="338"/>
      <c r="G50" s="323">
        <v>2.5000000000000001E-2</v>
      </c>
      <c r="H50" s="309" t="s">
        <v>441</v>
      </c>
      <c r="I50" s="330"/>
      <c r="J50" s="309"/>
      <c r="K50" s="309"/>
      <c r="L50" s="912"/>
    </row>
    <row r="51" spans="1:139" s="308" customFormat="1" ht="14.9" customHeight="1" x14ac:dyDescent="0.25">
      <c r="A51" s="911"/>
      <c r="B51" s="309"/>
      <c r="C51" s="316" t="s">
        <v>446</v>
      </c>
      <c r="D51" s="309"/>
      <c r="E51" s="334"/>
      <c r="F51" s="338"/>
      <c r="G51" s="324"/>
      <c r="H51" s="309"/>
      <c r="I51" s="330"/>
      <c r="J51" s="309"/>
      <c r="K51" s="309"/>
      <c r="L51" s="912"/>
    </row>
    <row r="52" spans="1:139" s="308" customFormat="1" ht="14.9" customHeight="1" x14ac:dyDescent="0.25">
      <c r="A52" s="911"/>
      <c r="B52" s="309"/>
      <c r="C52" s="309"/>
      <c r="D52" s="309"/>
      <c r="E52" s="334" t="s">
        <v>447</v>
      </c>
      <c r="F52" s="338"/>
      <c r="G52" s="503">
        <v>0.03</v>
      </c>
      <c r="H52" s="309" t="s">
        <v>441</v>
      </c>
      <c r="I52" s="330"/>
      <c r="J52" s="309"/>
      <c r="K52" s="309"/>
      <c r="L52" s="912"/>
    </row>
    <row r="53" spans="1:139" s="308" customFormat="1" ht="14.9" customHeight="1" x14ac:dyDescent="0.25">
      <c r="A53" s="911"/>
      <c r="B53" s="309"/>
      <c r="C53" s="316" t="s">
        <v>448</v>
      </c>
      <c r="D53" s="309"/>
      <c r="E53" s="309"/>
      <c r="F53" s="338"/>
      <c r="G53" s="309"/>
      <c r="H53" s="309"/>
      <c r="I53" s="342"/>
      <c r="J53" s="309"/>
      <c r="K53" s="309"/>
      <c r="L53" s="912"/>
    </row>
    <row r="54" spans="1:139" s="308" customFormat="1" ht="14.9" customHeight="1" x14ac:dyDescent="0.25">
      <c r="A54" s="911"/>
      <c r="B54" s="309"/>
      <c r="C54" s="309"/>
      <c r="D54" s="309"/>
      <c r="E54" s="339" t="s">
        <v>449</v>
      </c>
      <c r="F54" s="338"/>
      <c r="G54" s="340">
        <f>K_adm</f>
        <v>70</v>
      </c>
      <c r="H54" s="916" t="s">
        <v>450</v>
      </c>
      <c r="I54" s="330"/>
      <c r="J54" s="309"/>
      <c r="K54" s="309"/>
      <c r="L54" s="912"/>
    </row>
    <row r="55" spans="1:139" s="308" customFormat="1" ht="14.9" customHeight="1" x14ac:dyDescent="0.25">
      <c r="A55" s="911"/>
      <c r="B55" s="309"/>
      <c r="C55" s="309"/>
      <c r="D55" s="309"/>
      <c r="E55" s="309"/>
      <c r="F55" s="341"/>
      <c r="G55" s="309"/>
      <c r="H55" s="309"/>
      <c r="I55" s="342"/>
      <c r="J55" s="309"/>
      <c r="K55" s="309"/>
      <c r="L55" s="912"/>
      <c r="M55" s="309"/>
      <c r="N55" s="309"/>
      <c r="O55" s="309"/>
      <c r="P55" s="309"/>
      <c r="Q55" s="309"/>
      <c r="R55" s="309"/>
      <c r="S55" s="309"/>
      <c r="T55" s="309"/>
      <c r="U55" s="309"/>
      <c r="V55" s="309"/>
      <c r="W55" s="309"/>
      <c r="X55" s="309"/>
      <c r="Y55" s="309"/>
      <c r="Z55" s="309"/>
      <c r="AA55" s="309"/>
      <c r="AB55" s="309"/>
      <c r="AC55" s="309"/>
      <c r="AD55" s="309"/>
      <c r="AE55" s="309"/>
      <c r="AF55" s="309"/>
      <c r="AG55" s="309"/>
      <c r="AH55" s="309"/>
      <c r="AI55" s="309"/>
      <c r="AJ55" s="309"/>
      <c r="AK55" s="309"/>
      <c r="AL55" s="309"/>
      <c r="AM55" s="309"/>
      <c r="AN55" s="309"/>
      <c r="AO55" s="309"/>
      <c r="AP55" s="309"/>
      <c r="AQ55" s="309"/>
      <c r="AR55" s="309"/>
      <c r="AS55" s="309"/>
      <c r="AT55" s="309"/>
      <c r="AU55" s="309"/>
      <c r="AV55" s="309"/>
      <c r="AW55" s="309"/>
      <c r="AX55" s="309"/>
      <c r="AY55" s="309"/>
      <c r="AZ55" s="309"/>
      <c r="BA55" s="309"/>
      <c r="BB55" s="309"/>
      <c r="BC55" s="309"/>
      <c r="BD55" s="309"/>
      <c r="BE55" s="309"/>
      <c r="BF55" s="309"/>
      <c r="BG55" s="309"/>
      <c r="BH55" s="309"/>
      <c r="BI55" s="309"/>
      <c r="BJ55" s="309"/>
      <c r="BK55" s="309"/>
      <c r="BL55" s="309"/>
      <c r="BM55" s="309"/>
      <c r="BN55" s="309"/>
      <c r="BO55" s="309"/>
      <c r="BP55" s="309"/>
      <c r="BQ55" s="309"/>
      <c r="BR55" s="309"/>
      <c r="BS55" s="309"/>
      <c r="BT55" s="309"/>
      <c r="BU55" s="309"/>
      <c r="BV55" s="309"/>
      <c r="BW55" s="309"/>
      <c r="BX55" s="309"/>
      <c r="BY55" s="309"/>
      <c r="BZ55" s="309"/>
      <c r="CA55" s="309"/>
      <c r="CB55" s="309"/>
      <c r="CC55" s="309"/>
      <c r="CD55" s="309"/>
      <c r="CE55" s="309"/>
      <c r="CF55" s="309"/>
      <c r="CG55" s="309"/>
      <c r="CH55" s="309"/>
      <c r="CI55" s="309"/>
      <c r="CJ55" s="309"/>
      <c r="CK55" s="309"/>
      <c r="CL55" s="309"/>
      <c r="CM55" s="309"/>
      <c r="CN55" s="309"/>
      <c r="CO55" s="309"/>
      <c r="CP55" s="309"/>
      <c r="CQ55" s="309"/>
      <c r="CR55" s="309"/>
      <c r="CS55" s="309"/>
      <c r="CT55" s="309"/>
      <c r="CU55" s="309"/>
      <c r="CV55" s="309"/>
      <c r="CW55" s="309"/>
      <c r="CX55" s="309"/>
      <c r="CY55" s="309"/>
      <c r="CZ55" s="309"/>
      <c r="DA55" s="309"/>
      <c r="DB55" s="309"/>
      <c r="DC55" s="309"/>
      <c r="DD55" s="309"/>
      <c r="DE55" s="309"/>
      <c r="DF55" s="309"/>
      <c r="DG55" s="309"/>
      <c r="DH55" s="309"/>
      <c r="DI55" s="309"/>
      <c r="DJ55" s="309"/>
      <c r="DK55" s="309"/>
      <c r="DL55" s="309"/>
      <c r="DM55" s="309"/>
      <c r="DN55" s="309"/>
      <c r="DO55" s="309"/>
      <c r="DP55" s="309"/>
      <c r="DQ55" s="309"/>
      <c r="DR55" s="309"/>
      <c r="DS55" s="309"/>
      <c r="DT55" s="309"/>
      <c r="DU55" s="309"/>
      <c r="DV55" s="309"/>
      <c r="DW55" s="309"/>
      <c r="DX55" s="309"/>
      <c r="DY55" s="309"/>
      <c r="DZ55" s="309"/>
      <c r="EA55" s="309"/>
      <c r="EB55" s="309"/>
      <c r="EC55" s="309"/>
      <c r="ED55" s="309"/>
      <c r="EE55" s="309"/>
      <c r="EF55" s="309"/>
      <c r="EG55" s="309"/>
      <c r="EH55" s="309"/>
      <c r="EI55" s="309"/>
    </row>
    <row r="56" spans="1:139" s="309" customFormat="1" ht="14.9" customHeight="1" x14ac:dyDescent="0.25">
      <c r="A56" s="911"/>
      <c r="F56" s="341"/>
      <c r="I56" s="342"/>
      <c r="L56" s="912"/>
    </row>
    <row r="57" spans="1:139" s="308" customFormat="1" ht="14.9" customHeight="1" x14ac:dyDescent="0.25">
      <c r="A57" s="911"/>
      <c r="B57" s="312" t="s">
        <v>451</v>
      </c>
      <c r="C57" s="313"/>
      <c r="D57" s="313"/>
      <c r="E57" s="313"/>
      <c r="F57" s="322"/>
      <c r="G57" s="312" t="s">
        <v>407</v>
      </c>
      <c r="H57" s="312" t="s">
        <v>408</v>
      </c>
      <c r="I57" s="354" t="s">
        <v>409</v>
      </c>
      <c r="J57" s="312"/>
      <c r="K57" s="312"/>
      <c r="L57" s="912"/>
      <c r="P57" s="315">
        <f t="shared" ref="P57:AU57" si="2">P18</f>
        <v>1900</v>
      </c>
      <c r="Q57" s="315">
        <f t="shared" si="2"/>
        <v>1901</v>
      </c>
      <c r="R57" s="315">
        <f t="shared" si="2"/>
        <v>1902</v>
      </c>
      <c r="S57" s="315">
        <f t="shared" si="2"/>
        <v>1903</v>
      </c>
      <c r="T57" s="315">
        <f t="shared" si="2"/>
        <v>1904</v>
      </c>
      <c r="U57" s="315">
        <f t="shared" si="2"/>
        <v>1905</v>
      </c>
      <c r="V57" s="315">
        <f t="shared" si="2"/>
        <v>1906</v>
      </c>
      <c r="W57" s="315">
        <f t="shared" si="2"/>
        <v>1907</v>
      </c>
      <c r="X57" s="315">
        <f t="shared" si="2"/>
        <v>1908</v>
      </c>
      <c r="Y57" s="315">
        <f t="shared" si="2"/>
        <v>1909</v>
      </c>
      <c r="Z57" s="315">
        <f t="shared" si="2"/>
        <v>1910</v>
      </c>
      <c r="AA57" s="315">
        <f t="shared" si="2"/>
        <v>1911</v>
      </c>
      <c r="AB57" s="315">
        <f t="shared" si="2"/>
        <v>1912</v>
      </c>
      <c r="AC57" s="315">
        <f t="shared" si="2"/>
        <v>1913</v>
      </c>
      <c r="AD57" s="315">
        <f t="shared" si="2"/>
        <v>1914</v>
      </c>
      <c r="AE57" s="315">
        <f t="shared" si="2"/>
        <v>1915</v>
      </c>
      <c r="AF57" s="315">
        <f t="shared" si="2"/>
        <v>1916</v>
      </c>
      <c r="AG57" s="315">
        <f t="shared" si="2"/>
        <v>1917</v>
      </c>
      <c r="AH57" s="315">
        <f t="shared" si="2"/>
        <v>1918</v>
      </c>
      <c r="AI57" s="315">
        <f t="shared" si="2"/>
        <v>1919</v>
      </c>
      <c r="AJ57" s="315">
        <f t="shared" si="2"/>
        <v>1920</v>
      </c>
      <c r="AK57" s="315">
        <f t="shared" si="2"/>
        <v>1921</v>
      </c>
      <c r="AL57" s="315">
        <f t="shared" si="2"/>
        <v>1922</v>
      </c>
      <c r="AM57" s="315">
        <f t="shared" si="2"/>
        <v>1923</v>
      </c>
      <c r="AN57" s="315">
        <f t="shared" si="2"/>
        <v>1924</v>
      </c>
      <c r="AO57" s="315">
        <f t="shared" si="2"/>
        <v>1925</v>
      </c>
      <c r="AP57" s="315">
        <f t="shared" si="2"/>
        <v>1926</v>
      </c>
      <c r="AQ57" s="315">
        <f t="shared" si="2"/>
        <v>1927</v>
      </c>
      <c r="AR57" s="315">
        <f t="shared" si="2"/>
        <v>1928</v>
      </c>
      <c r="AS57" s="315">
        <f t="shared" si="2"/>
        <v>1929</v>
      </c>
      <c r="AT57" s="315">
        <f t="shared" si="2"/>
        <v>1930</v>
      </c>
      <c r="AU57" s="315">
        <f t="shared" si="2"/>
        <v>1931</v>
      </c>
      <c r="AV57" s="315">
        <f t="shared" ref="AV57:BW57" si="3">AV18</f>
        <v>1932</v>
      </c>
      <c r="AW57" s="315">
        <f t="shared" si="3"/>
        <v>1933</v>
      </c>
      <c r="AX57" s="315">
        <f t="shared" si="3"/>
        <v>1934</v>
      </c>
      <c r="AY57" s="315">
        <f t="shared" si="3"/>
        <v>1935</v>
      </c>
      <c r="AZ57" s="315">
        <f t="shared" si="3"/>
        <v>1936</v>
      </c>
      <c r="BA57" s="315">
        <f t="shared" si="3"/>
        <v>1937</v>
      </c>
      <c r="BB57" s="315">
        <f t="shared" si="3"/>
        <v>1938</v>
      </c>
      <c r="BC57" s="315">
        <f t="shared" si="3"/>
        <v>1939</v>
      </c>
      <c r="BD57" s="315">
        <f t="shared" si="3"/>
        <v>1940</v>
      </c>
      <c r="BE57" s="315">
        <f t="shared" si="3"/>
        <v>1941</v>
      </c>
      <c r="BF57" s="315">
        <f t="shared" si="3"/>
        <v>1942</v>
      </c>
      <c r="BG57" s="315">
        <f t="shared" si="3"/>
        <v>1943</v>
      </c>
      <c r="BH57" s="315">
        <f t="shared" si="3"/>
        <v>1944</v>
      </c>
      <c r="BI57" s="315">
        <f t="shared" si="3"/>
        <v>1945</v>
      </c>
      <c r="BJ57" s="315">
        <f t="shared" si="3"/>
        <v>1946</v>
      </c>
      <c r="BK57" s="315">
        <f t="shared" si="3"/>
        <v>1947</v>
      </c>
      <c r="BL57" s="315">
        <f t="shared" si="3"/>
        <v>1948</v>
      </c>
      <c r="BM57" s="315">
        <f t="shared" si="3"/>
        <v>1949</v>
      </c>
      <c r="BN57" s="315">
        <f t="shared" si="3"/>
        <v>1950</v>
      </c>
      <c r="BO57" s="315">
        <f t="shared" si="3"/>
        <v>1951</v>
      </c>
      <c r="BP57" s="315">
        <f t="shared" si="3"/>
        <v>1952</v>
      </c>
      <c r="BQ57" s="315">
        <f t="shared" si="3"/>
        <v>1953</v>
      </c>
      <c r="BR57" s="315">
        <f t="shared" si="3"/>
        <v>1954</v>
      </c>
      <c r="BS57" s="315">
        <f t="shared" si="3"/>
        <v>1955</v>
      </c>
      <c r="BT57" s="315">
        <f t="shared" si="3"/>
        <v>1956</v>
      </c>
      <c r="BU57" s="315">
        <f t="shared" si="3"/>
        <v>1957</v>
      </c>
      <c r="BV57" s="315">
        <f t="shared" si="3"/>
        <v>1958</v>
      </c>
      <c r="BW57" s="315">
        <f t="shared" si="3"/>
        <v>1959</v>
      </c>
    </row>
    <row r="58" spans="1:139" s="308" customFormat="1" ht="14.9" customHeight="1" x14ac:dyDescent="0.25">
      <c r="A58" s="911"/>
      <c r="B58" s="309"/>
      <c r="C58" s="316" t="s">
        <v>452</v>
      </c>
      <c r="D58" s="309"/>
      <c r="E58" s="309"/>
      <c r="F58" s="341"/>
      <c r="G58" s="309"/>
      <c r="H58" s="309"/>
      <c r="I58" s="917" t="s">
        <v>453</v>
      </c>
      <c r="J58" s="309"/>
      <c r="K58" s="309"/>
      <c r="L58" s="912"/>
    </row>
    <row r="59" spans="1:139" s="308" customFormat="1" ht="14.9" customHeight="1" x14ac:dyDescent="0.25">
      <c r="A59" s="911"/>
      <c r="B59" s="309"/>
      <c r="C59" s="316"/>
      <c r="D59" s="309"/>
      <c r="E59" s="309" t="s">
        <v>454</v>
      </c>
      <c r="F59" s="341"/>
      <c r="G59" s="343"/>
      <c r="H59" s="309" t="s">
        <v>435</v>
      </c>
      <c r="I59" s="344">
        <f>VLOOKUP(G16,ORT_Lijsten!$B$3:$G$5,6)</f>
        <v>0</v>
      </c>
      <c r="J59" s="309"/>
      <c r="K59" s="309"/>
      <c r="L59" s="912"/>
    </row>
    <row r="60" spans="1:139" s="308" customFormat="1" ht="14.9" customHeight="1" x14ac:dyDescent="0.25">
      <c r="A60" s="911"/>
      <c r="B60" s="309"/>
      <c r="C60" s="316"/>
      <c r="D60" s="309"/>
      <c r="E60" s="914" t="str">
        <f>IF(AND(G59&gt;9,I59=9),"WAARDE IS HOGER DAN DE DEFAULT WAARDE VOOR ZLT-BRONKOSTEN; NADER ONDERBOUWEN IN PROJECTPLAN",IF(AND(I59=0,G59&gt;0),"VOOR HT/MT/LT-NETTEN WORDT GEREKEND MET EEN VASTE MARGE EN WORDEN GEEN BRONKOSTEN OPGEVOERD",""))</f>
        <v/>
      </c>
      <c r="F60" s="341"/>
      <c r="G60" s="309"/>
      <c r="H60" s="309"/>
      <c r="I60" s="342"/>
      <c r="J60" s="309"/>
      <c r="K60" s="309"/>
      <c r="L60" s="912"/>
    </row>
    <row r="61" spans="1:139" s="308" customFormat="1" ht="14.9" customHeight="1" x14ac:dyDescent="0.25">
      <c r="A61" s="911"/>
      <c r="B61" s="309"/>
      <c r="C61" s="309"/>
      <c r="D61" s="309"/>
      <c r="E61" s="309"/>
      <c r="F61" s="341"/>
      <c r="G61" s="309"/>
      <c r="H61" s="309"/>
      <c r="I61" s="342"/>
      <c r="J61" s="309"/>
      <c r="K61" s="309"/>
      <c r="L61" s="912"/>
    </row>
    <row r="62" spans="1:139" s="308" customFormat="1" ht="14.9" customHeight="1" x14ac:dyDescent="0.25">
      <c r="A62" s="911"/>
      <c r="B62" s="312" t="s">
        <v>455</v>
      </c>
      <c r="C62" s="313"/>
      <c r="D62" s="313"/>
      <c r="E62" s="313"/>
      <c r="F62" s="322"/>
      <c r="G62" s="312" t="s">
        <v>407</v>
      </c>
      <c r="H62" s="312" t="s">
        <v>408</v>
      </c>
      <c r="I62" s="314"/>
      <c r="J62" s="312"/>
      <c r="K62" s="312"/>
      <c r="L62" s="912"/>
      <c r="P62" s="315">
        <f t="shared" ref="P62:AU62" si="4">P18</f>
        <v>1900</v>
      </c>
      <c r="Q62" s="315">
        <f t="shared" si="4"/>
        <v>1901</v>
      </c>
      <c r="R62" s="315">
        <f t="shared" si="4"/>
        <v>1902</v>
      </c>
      <c r="S62" s="315">
        <f t="shared" si="4"/>
        <v>1903</v>
      </c>
      <c r="T62" s="315">
        <f t="shared" si="4"/>
        <v>1904</v>
      </c>
      <c r="U62" s="315">
        <f t="shared" si="4"/>
        <v>1905</v>
      </c>
      <c r="V62" s="315">
        <f t="shared" si="4"/>
        <v>1906</v>
      </c>
      <c r="W62" s="315">
        <f t="shared" si="4"/>
        <v>1907</v>
      </c>
      <c r="X62" s="315">
        <f t="shared" si="4"/>
        <v>1908</v>
      </c>
      <c r="Y62" s="315">
        <f t="shared" si="4"/>
        <v>1909</v>
      </c>
      <c r="Z62" s="315">
        <f t="shared" si="4"/>
        <v>1910</v>
      </c>
      <c r="AA62" s="315">
        <f t="shared" si="4"/>
        <v>1911</v>
      </c>
      <c r="AB62" s="315">
        <f t="shared" si="4"/>
        <v>1912</v>
      </c>
      <c r="AC62" s="315">
        <f t="shared" si="4"/>
        <v>1913</v>
      </c>
      <c r="AD62" s="315">
        <f t="shared" si="4"/>
        <v>1914</v>
      </c>
      <c r="AE62" s="315">
        <f t="shared" si="4"/>
        <v>1915</v>
      </c>
      <c r="AF62" s="315">
        <f t="shared" si="4"/>
        <v>1916</v>
      </c>
      <c r="AG62" s="315">
        <f t="shared" si="4"/>
        <v>1917</v>
      </c>
      <c r="AH62" s="315">
        <f t="shared" si="4"/>
        <v>1918</v>
      </c>
      <c r="AI62" s="315">
        <f t="shared" si="4"/>
        <v>1919</v>
      </c>
      <c r="AJ62" s="315">
        <f t="shared" si="4"/>
        <v>1920</v>
      </c>
      <c r="AK62" s="315">
        <f t="shared" si="4"/>
        <v>1921</v>
      </c>
      <c r="AL62" s="315">
        <f t="shared" si="4"/>
        <v>1922</v>
      </c>
      <c r="AM62" s="315">
        <f t="shared" si="4"/>
        <v>1923</v>
      </c>
      <c r="AN62" s="315">
        <f t="shared" si="4"/>
        <v>1924</v>
      </c>
      <c r="AO62" s="315">
        <f t="shared" si="4"/>
        <v>1925</v>
      </c>
      <c r="AP62" s="315">
        <f t="shared" si="4"/>
        <v>1926</v>
      </c>
      <c r="AQ62" s="315">
        <f t="shared" si="4"/>
        <v>1927</v>
      </c>
      <c r="AR62" s="315">
        <f t="shared" si="4"/>
        <v>1928</v>
      </c>
      <c r="AS62" s="315">
        <f t="shared" si="4"/>
        <v>1929</v>
      </c>
      <c r="AT62" s="315">
        <f t="shared" si="4"/>
        <v>1930</v>
      </c>
      <c r="AU62" s="315">
        <f t="shared" si="4"/>
        <v>1931</v>
      </c>
      <c r="AV62" s="315">
        <f t="shared" ref="AV62:BW62" si="5">AV18</f>
        <v>1932</v>
      </c>
      <c r="AW62" s="315">
        <f t="shared" si="5"/>
        <v>1933</v>
      </c>
      <c r="AX62" s="315">
        <f t="shared" si="5"/>
        <v>1934</v>
      </c>
      <c r="AY62" s="315">
        <f t="shared" si="5"/>
        <v>1935</v>
      </c>
      <c r="AZ62" s="315">
        <f t="shared" si="5"/>
        <v>1936</v>
      </c>
      <c r="BA62" s="315">
        <f t="shared" si="5"/>
        <v>1937</v>
      </c>
      <c r="BB62" s="315">
        <f t="shared" si="5"/>
        <v>1938</v>
      </c>
      <c r="BC62" s="315">
        <f t="shared" si="5"/>
        <v>1939</v>
      </c>
      <c r="BD62" s="315">
        <f t="shared" si="5"/>
        <v>1940</v>
      </c>
      <c r="BE62" s="315">
        <f t="shared" si="5"/>
        <v>1941</v>
      </c>
      <c r="BF62" s="315">
        <f t="shared" si="5"/>
        <v>1942</v>
      </c>
      <c r="BG62" s="315">
        <f t="shared" si="5"/>
        <v>1943</v>
      </c>
      <c r="BH62" s="315">
        <f t="shared" si="5"/>
        <v>1944</v>
      </c>
      <c r="BI62" s="315">
        <f t="shared" si="5"/>
        <v>1945</v>
      </c>
      <c r="BJ62" s="315">
        <f t="shared" si="5"/>
        <v>1946</v>
      </c>
      <c r="BK62" s="315">
        <f t="shared" si="5"/>
        <v>1947</v>
      </c>
      <c r="BL62" s="315">
        <f t="shared" si="5"/>
        <v>1948</v>
      </c>
      <c r="BM62" s="315">
        <f t="shared" si="5"/>
        <v>1949</v>
      </c>
      <c r="BN62" s="315">
        <f t="shared" si="5"/>
        <v>1950</v>
      </c>
      <c r="BO62" s="315">
        <f t="shared" si="5"/>
        <v>1951</v>
      </c>
      <c r="BP62" s="315">
        <f t="shared" si="5"/>
        <v>1952</v>
      </c>
      <c r="BQ62" s="315">
        <f t="shared" si="5"/>
        <v>1953</v>
      </c>
      <c r="BR62" s="315">
        <f t="shared" si="5"/>
        <v>1954</v>
      </c>
      <c r="BS62" s="315">
        <f t="shared" si="5"/>
        <v>1955</v>
      </c>
      <c r="BT62" s="315">
        <f t="shared" si="5"/>
        <v>1956</v>
      </c>
      <c r="BU62" s="315">
        <f t="shared" si="5"/>
        <v>1957</v>
      </c>
      <c r="BV62" s="315">
        <f t="shared" si="5"/>
        <v>1958</v>
      </c>
      <c r="BW62" s="315">
        <f t="shared" si="5"/>
        <v>1959</v>
      </c>
    </row>
    <row r="63" spans="1:139" s="310" customFormat="1" ht="14.9" customHeight="1" x14ac:dyDescent="0.25">
      <c r="A63" s="911"/>
      <c r="F63" s="328"/>
      <c r="I63" s="320"/>
      <c r="L63" s="912"/>
      <c r="P63" s="345">
        <v>1</v>
      </c>
      <c r="Q63" s="345">
        <f t="shared" ref="Q63:AV63" si="6" xml:space="preserve"> P63 + 1</f>
        <v>2</v>
      </c>
      <c r="R63" s="345">
        <f t="shared" si="6"/>
        <v>3</v>
      </c>
      <c r="S63" s="345">
        <f t="shared" si="6"/>
        <v>4</v>
      </c>
      <c r="T63" s="345">
        <f t="shared" si="6"/>
        <v>5</v>
      </c>
      <c r="U63" s="345">
        <f t="shared" si="6"/>
        <v>6</v>
      </c>
      <c r="V63" s="345">
        <f t="shared" si="6"/>
        <v>7</v>
      </c>
      <c r="W63" s="345">
        <f t="shared" si="6"/>
        <v>8</v>
      </c>
      <c r="X63" s="345">
        <f t="shared" si="6"/>
        <v>9</v>
      </c>
      <c r="Y63" s="345">
        <f t="shared" si="6"/>
        <v>10</v>
      </c>
      <c r="Z63" s="345">
        <f t="shared" si="6"/>
        <v>11</v>
      </c>
      <c r="AA63" s="345">
        <f t="shared" si="6"/>
        <v>12</v>
      </c>
      <c r="AB63" s="345">
        <f t="shared" si="6"/>
        <v>13</v>
      </c>
      <c r="AC63" s="345">
        <f t="shared" si="6"/>
        <v>14</v>
      </c>
      <c r="AD63" s="345">
        <f t="shared" si="6"/>
        <v>15</v>
      </c>
      <c r="AE63" s="345">
        <f t="shared" si="6"/>
        <v>16</v>
      </c>
      <c r="AF63" s="345">
        <f t="shared" si="6"/>
        <v>17</v>
      </c>
      <c r="AG63" s="345">
        <f t="shared" si="6"/>
        <v>18</v>
      </c>
      <c r="AH63" s="345">
        <f t="shared" si="6"/>
        <v>19</v>
      </c>
      <c r="AI63" s="345">
        <f t="shared" si="6"/>
        <v>20</v>
      </c>
      <c r="AJ63" s="345">
        <f t="shared" si="6"/>
        <v>21</v>
      </c>
      <c r="AK63" s="345">
        <f t="shared" si="6"/>
        <v>22</v>
      </c>
      <c r="AL63" s="345">
        <f t="shared" si="6"/>
        <v>23</v>
      </c>
      <c r="AM63" s="345">
        <f t="shared" si="6"/>
        <v>24</v>
      </c>
      <c r="AN63" s="345">
        <f t="shared" si="6"/>
        <v>25</v>
      </c>
      <c r="AO63" s="345">
        <f t="shared" si="6"/>
        <v>26</v>
      </c>
      <c r="AP63" s="345">
        <f t="shared" si="6"/>
        <v>27</v>
      </c>
      <c r="AQ63" s="345">
        <f t="shared" si="6"/>
        <v>28</v>
      </c>
      <c r="AR63" s="345">
        <f t="shared" si="6"/>
        <v>29</v>
      </c>
      <c r="AS63" s="345">
        <f t="shared" si="6"/>
        <v>30</v>
      </c>
      <c r="AT63" s="345">
        <f t="shared" si="6"/>
        <v>31</v>
      </c>
      <c r="AU63" s="345">
        <f t="shared" si="6"/>
        <v>32</v>
      </c>
      <c r="AV63" s="345">
        <f t="shared" si="6"/>
        <v>33</v>
      </c>
      <c r="AW63" s="345">
        <f t="shared" ref="AW63:BW63" si="7" xml:space="preserve"> AV63 + 1</f>
        <v>34</v>
      </c>
      <c r="AX63" s="345">
        <f t="shared" si="7"/>
        <v>35</v>
      </c>
      <c r="AY63" s="345">
        <f t="shared" si="7"/>
        <v>36</v>
      </c>
      <c r="AZ63" s="345">
        <f t="shared" si="7"/>
        <v>37</v>
      </c>
      <c r="BA63" s="345">
        <f t="shared" si="7"/>
        <v>38</v>
      </c>
      <c r="BB63" s="345">
        <f t="shared" si="7"/>
        <v>39</v>
      </c>
      <c r="BC63" s="345">
        <f t="shared" si="7"/>
        <v>40</v>
      </c>
      <c r="BD63" s="345">
        <f t="shared" si="7"/>
        <v>41</v>
      </c>
      <c r="BE63" s="345">
        <f t="shared" si="7"/>
        <v>42</v>
      </c>
      <c r="BF63" s="345">
        <f t="shared" si="7"/>
        <v>43</v>
      </c>
      <c r="BG63" s="345">
        <f t="shared" si="7"/>
        <v>44</v>
      </c>
      <c r="BH63" s="345">
        <f t="shared" si="7"/>
        <v>45</v>
      </c>
      <c r="BI63" s="345">
        <f t="shared" si="7"/>
        <v>46</v>
      </c>
      <c r="BJ63" s="345">
        <f t="shared" si="7"/>
        <v>47</v>
      </c>
      <c r="BK63" s="345">
        <f t="shared" si="7"/>
        <v>48</v>
      </c>
      <c r="BL63" s="345">
        <f t="shared" si="7"/>
        <v>49</v>
      </c>
      <c r="BM63" s="345">
        <f t="shared" si="7"/>
        <v>50</v>
      </c>
      <c r="BN63" s="345">
        <f t="shared" si="7"/>
        <v>51</v>
      </c>
      <c r="BO63" s="345">
        <f t="shared" si="7"/>
        <v>52</v>
      </c>
      <c r="BP63" s="345">
        <f t="shared" si="7"/>
        <v>53</v>
      </c>
      <c r="BQ63" s="345">
        <f t="shared" si="7"/>
        <v>54</v>
      </c>
      <c r="BR63" s="345">
        <f t="shared" si="7"/>
        <v>55</v>
      </c>
      <c r="BS63" s="345">
        <f t="shared" si="7"/>
        <v>56</v>
      </c>
      <c r="BT63" s="345">
        <f t="shared" si="7"/>
        <v>57</v>
      </c>
      <c r="BU63" s="345">
        <f t="shared" si="7"/>
        <v>58</v>
      </c>
      <c r="BV63" s="345">
        <f t="shared" si="7"/>
        <v>59</v>
      </c>
      <c r="BW63" s="345">
        <f t="shared" si="7"/>
        <v>60</v>
      </c>
      <c r="BX63" s="308"/>
      <c r="BY63" s="308"/>
      <c r="BZ63" s="308"/>
      <c r="CA63" s="308"/>
      <c r="CB63" s="308"/>
      <c r="CC63" s="308"/>
      <c r="CD63" s="308"/>
    </row>
    <row r="64" spans="1:139" s="310" customFormat="1" ht="14.9" customHeight="1" x14ac:dyDescent="0.25">
      <c r="A64" s="911"/>
      <c r="C64" s="316" t="s">
        <v>455</v>
      </c>
      <c r="F64" s="328"/>
      <c r="I64" s="320"/>
      <c r="L64" s="912"/>
      <c r="P64" s="308"/>
      <c r="Q64" s="308"/>
      <c r="R64" s="308"/>
      <c r="S64" s="308"/>
      <c r="T64" s="308"/>
      <c r="U64" s="308"/>
      <c r="V64" s="308"/>
      <c r="W64" s="308"/>
      <c r="X64" s="308"/>
      <c r="Y64" s="308"/>
      <c r="Z64" s="308"/>
      <c r="AA64" s="308"/>
      <c r="AB64" s="308"/>
      <c r="AC64" s="308"/>
      <c r="AD64" s="308"/>
      <c r="AE64" s="308"/>
      <c r="AF64" s="308"/>
      <c r="AG64" s="308"/>
      <c r="AH64" s="308"/>
      <c r="AI64" s="308"/>
      <c r="AJ64" s="308"/>
      <c r="AK64" s="308"/>
      <c r="AL64" s="308"/>
      <c r="AM64" s="308"/>
      <c r="AN64" s="308"/>
      <c r="AO64" s="308"/>
      <c r="AP64" s="308"/>
      <c r="AQ64" s="308"/>
      <c r="AR64" s="308"/>
      <c r="AS64" s="308"/>
      <c r="AT64" s="308"/>
      <c r="AU64" s="308"/>
      <c r="AV64" s="308"/>
      <c r="AW64" s="308"/>
      <c r="AX64" s="308"/>
      <c r="AY64" s="308"/>
      <c r="AZ64" s="308"/>
      <c r="BA64" s="308"/>
      <c r="BB64" s="308"/>
      <c r="BC64" s="308"/>
      <c r="BD64" s="308"/>
      <c r="BE64" s="308"/>
      <c r="BF64" s="308"/>
      <c r="BG64" s="308"/>
      <c r="BH64" s="308"/>
      <c r="BI64" s="308"/>
      <c r="BJ64" s="308"/>
      <c r="BK64" s="308"/>
      <c r="BL64" s="308"/>
      <c r="BM64" s="308"/>
      <c r="BN64" s="308"/>
      <c r="BO64" s="308"/>
      <c r="BP64" s="308"/>
      <c r="BQ64" s="308"/>
      <c r="BR64" s="308"/>
      <c r="BS64" s="308"/>
      <c r="BT64" s="308"/>
      <c r="BU64" s="308"/>
      <c r="BV64" s="308"/>
      <c r="BW64" s="308"/>
      <c r="BX64" s="308"/>
      <c r="BY64" s="308"/>
      <c r="BZ64" s="308"/>
      <c r="CA64" s="308"/>
      <c r="CB64" s="308"/>
      <c r="CC64" s="308"/>
      <c r="CD64" s="308"/>
    </row>
    <row r="65" spans="1:75" s="308" customFormat="1" ht="14.9" customHeight="1" x14ac:dyDescent="0.25">
      <c r="A65" s="911"/>
      <c r="B65" s="309"/>
      <c r="C65" s="309"/>
      <c r="D65" s="309"/>
      <c r="E65" s="309" t="s">
        <v>456</v>
      </c>
      <c r="F65" s="341"/>
      <c r="G65" s="323">
        <f>inflatie</f>
        <v>0.02</v>
      </c>
      <c r="H65" s="309"/>
      <c r="I65" s="342"/>
      <c r="J65" s="309"/>
      <c r="K65" s="309"/>
      <c r="L65" s="912"/>
      <c r="P65" s="333">
        <f t="shared" ref="P65:Y66" si="8" xml:space="preserve"> ( 1 + $G65) ^ (P$63 - 1)</f>
        <v>1</v>
      </c>
      <c r="Q65" s="333">
        <f t="shared" si="8"/>
        <v>1.02</v>
      </c>
      <c r="R65" s="333">
        <f t="shared" si="8"/>
        <v>1.0404</v>
      </c>
      <c r="S65" s="333">
        <f t="shared" si="8"/>
        <v>1.0612079999999999</v>
      </c>
      <c r="T65" s="333">
        <f t="shared" si="8"/>
        <v>1.08243216</v>
      </c>
      <c r="U65" s="333">
        <f t="shared" si="8"/>
        <v>1.1040808032</v>
      </c>
      <c r="V65" s="333">
        <f t="shared" si="8"/>
        <v>1.1261624192640001</v>
      </c>
      <c r="W65" s="333">
        <f t="shared" si="8"/>
        <v>1.1486856676492798</v>
      </c>
      <c r="X65" s="333">
        <f t="shared" si="8"/>
        <v>1.1716593810022655</v>
      </c>
      <c r="Y65" s="333">
        <f t="shared" si="8"/>
        <v>1.1950925686223108</v>
      </c>
      <c r="Z65" s="333">
        <f t="shared" ref="Z65:AI66" si="9" xml:space="preserve"> ( 1 + $G65) ^ (Z$63 - 1)</f>
        <v>1.2189944199947571</v>
      </c>
      <c r="AA65" s="333">
        <f t="shared" si="9"/>
        <v>1.243374308394652</v>
      </c>
      <c r="AB65" s="333">
        <f t="shared" si="9"/>
        <v>1.2682417945625453</v>
      </c>
      <c r="AC65" s="333">
        <f t="shared" si="9"/>
        <v>1.2936066304537961</v>
      </c>
      <c r="AD65" s="333">
        <f t="shared" si="9"/>
        <v>1.3194787630628722</v>
      </c>
      <c r="AE65" s="333">
        <f t="shared" si="9"/>
        <v>1.3458683383241292</v>
      </c>
      <c r="AF65" s="333">
        <f t="shared" si="9"/>
        <v>1.372785705090612</v>
      </c>
      <c r="AG65" s="333">
        <f t="shared" si="9"/>
        <v>1.4002414191924244</v>
      </c>
      <c r="AH65" s="333">
        <f t="shared" si="9"/>
        <v>1.4282462475762727</v>
      </c>
      <c r="AI65" s="333">
        <f t="shared" si="9"/>
        <v>1.4568111725277981</v>
      </c>
      <c r="AJ65" s="333">
        <f t="shared" ref="AJ65:AS66" si="10" xml:space="preserve"> ( 1 + $G65) ^ (AJ$63 - 1)</f>
        <v>1.4859473959783542</v>
      </c>
      <c r="AK65" s="333">
        <f t="shared" si="10"/>
        <v>1.5156663438979212</v>
      </c>
      <c r="AL65" s="333">
        <f t="shared" si="10"/>
        <v>1.5459796707758797</v>
      </c>
      <c r="AM65" s="333">
        <f t="shared" si="10"/>
        <v>1.576899264191397</v>
      </c>
      <c r="AN65" s="333">
        <f t="shared" si="10"/>
        <v>1.608437249475225</v>
      </c>
      <c r="AO65" s="333">
        <f t="shared" si="10"/>
        <v>1.6406059944647295</v>
      </c>
      <c r="AP65" s="333">
        <f t="shared" si="10"/>
        <v>1.6734181143540243</v>
      </c>
      <c r="AQ65" s="333">
        <f t="shared" si="10"/>
        <v>1.7068864766411045</v>
      </c>
      <c r="AR65" s="333">
        <f t="shared" si="10"/>
        <v>1.7410242061739269</v>
      </c>
      <c r="AS65" s="333">
        <f t="shared" si="10"/>
        <v>1.7758446902974052</v>
      </c>
      <c r="AT65" s="333">
        <f t="shared" ref="AT65:BC66" si="11" xml:space="preserve"> ( 1 + $G65) ^ (AT$63 - 1)</f>
        <v>1.8113615841033535</v>
      </c>
      <c r="AU65" s="333">
        <f t="shared" si="11"/>
        <v>1.8475888157854201</v>
      </c>
      <c r="AV65" s="333">
        <f t="shared" si="11"/>
        <v>1.8845405921011289</v>
      </c>
      <c r="AW65" s="333">
        <f t="shared" si="11"/>
        <v>1.9222314039431516</v>
      </c>
      <c r="AX65" s="333">
        <f t="shared" si="11"/>
        <v>1.9606760320220145</v>
      </c>
      <c r="AY65" s="333">
        <f t="shared" si="11"/>
        <v>1.9998895526624547</v>
      </c>
      <c r="AZ65" s="333">
        <f t="shared" si="11"/>
        <v>2.0398873437157037</v>
      </c>
      <c r="BA65" s="333">
        <f t="shared" si="11"/>
        <v>2.080685090590018</v>
      </c>
      <c r="BB65" s="333">
        <f t="shared" si="11"/>
        <v>2.1222987924018186</v>
      </c>
      <c r="BC65" s="333">
        <f t="shared" si="11"/>
        <v>2.1647447682498542</v>
      </c>
      <c r="BD65" s="333">
        <f t="shared" ref="BD65:BM66" si="12" xml:space="preserve"> ( 1 + $G65) ^ (BD$63 - 1)</f>
        <v>2.2080396636148518</v>
      </c>
      <c r="BE65" s="333">
        <f t="shared" si="12"/>
        <v>2.2522004568871488</v>
      </c>
      <c r="BF65" s="333">
        <f t="shared" si="12"/>
        <v>2.2972444660248916</v>
      </c>
      <c r="BG65" s="333">
        <f t="shared" si="12"/>
        <v>2.3431893553453893</v>
      </c>
      <c r="BH65" s="333">
        <f t="shared" si="12"/>
        <v>2.3900531424522975</v>
      </c>
      <c r="BI65" s="333">
        <f t="shared" si="12"/>
        <v>2.4378542053013432</v>
      </c>
      <c r="BJ65" s="333">
        <f t="shared" si="12"/>
        <v>2.4866112894073704</v>
      </c>
      <c r="BK65" s="333">
        <f t="shared" si="12"/>
        <v>2.5363435151955169</v>
      </c>
      <c r="BL65" s="333">
        <f t="shared" si="12"/>
        <v>2.5870703854994277</v>
      </c>
      <c r="BM65" s="333">
        <f t="shared" si="12"/>
        <v>2.6388117932094164</v>
      </c>
      <c r="BN65" s="333">
        <f t="shared" ref="BN65:BW66" si="13" xml:space="preserve"> ( 1 + $G65) ^ (BN$63 - 1)</f>
        <v>2.6915880290736047</v>
      </c>
      <c r="BO65" s="333">
        <f t="shared" si="13"/>
        <v>2.7454197896550765</v>
      </c>
      <c r="BP65" s="333">
        <f t="shared" si="13"/>
        <v>2.8003281854481785</v>
      </c>
      <c r="BQ65" s="333">
        <f t="shared" si="13"/>
        <v>2.8563347491571416</v>
      </c>
      <c r="BR65" s="333">
        <f t="shared" si="13"/>
        <v>2.9134614441402849</v>
      </c>
      <c r="BS65" s="333">
        <f t="shared" si="13"/>
        <v>2.9717306730230897</v>
      </c>
      <c r="BT65" s="333">
        <f t="shared" si="13"/>
        <v>3.0311652864835517</v>
      </c>
      <c r="BU65" s="333">
        <f t="shared" si="13"/>
        <v>3.0917885922132227</v>
      </c>
      <c r="BV65" s="333">
        <f t="shared" si="13"/>
        <v>3.1536243640574875</v>
      </c>
      <c r="BW65" s="333">
        <f t="shared" si="13"/>
        <v>3.2166968513386367</v>
      </c>
    </row>
    <row r="66" spans="1:75" s="308" customFormat="1" ht="14.9" customHeight="1" x14ac:dyDescent="0.25">
      <c r="A66" s="911"/>
      <c r="B66" s="309"/>
      <c r="C66" s="309"/>
      <c r="D66" s="309"/>
      <c r="E66" s="309" t="s">
        <v>457</v>
      </c>
      <c r="F66" s="341"/>
      <c r="G66" s="323">
        <v>0</v>
      </c>
      <c r="H66" s="309"/>
      <c r="I66" s="342"/>
      <c r="J66" s="309"/>
      <c r="K66" s="309"/>
      <c r="L66" s="912"/>
      <c r="P66" s="333">
        <f t="shared" si="8"/>
        <v>1</v>
      </c>
      <c r="Q66" s="333">
        <f t="shared" si="8"/>
        <v>1</v>
      </c>
      <c r="R66" s="333">
        <f t="shared" si="8"/>
        <v>1</v>
      </c>
      <c r="S66" s="333">
        <f t="shared" si="8"/>
        <v>1</v>
      </c>
      <c r="T66" s="333">
        <f t="shared" si="8"/>
        <v>1</v>
      </c>
      <c r="U66" s="333">
        <f t="shared" si="8"/>
        <v>1</v>
      </c>
      <c r="V66" s="333">
        <f t="shared" si="8"/>
        <v>1</v>
      </c>
      <c r="W66" s="333">
        <f t="shared" si="8"/>
        <v>1</v>
      </c>
      <c r="X66" s="333">
        <f t="shared" si="8"/>
        <v>1</v>
      </c>
      <c r="Y66" s="333">
        <f t="shared" si="8"/>
        <v>1</v>
      </c>
      <c r="Z66" s="333">
        <f t="shared" si="9"/>
        <v>1</v>
      </c>
      <c r="AA66" s="333">
        <f t="shared" si="9"/>
        <v>1</v>
      </c>
      <c r="AB66" s="333">
        <f t="shared" si="9"/>
        <v>1</v>
      </c>
      <c r="AC66" s="333">
        <f t="shared" si="9"/>
        <v>1</v>
      </c>
      <c r="AD66" s="333">
        <f t="shared" si="9"/>
        <v>1</v>
      </c>
      <c r="AE66" s="333">
        <f t="shared" si="9"/>
        <v>1</v>
      </c>
      <c r="AF66" s="333">
        <f t="shared" si="9"/>
        <v>1</v>
      </c>
      <c r="AG66" s="333">
        <f t="shared" si="9"/>
        <v>1</v>
      </c>
      <c r="AH66" s="333">
        <f t="shared" si="9"/>
        <v>1</v>
      </c>
      <c r="AI66" s="333">
        <f t="shared" si="9"/>
        <v>1</v>
      </c>
      <c r="AJ66" s="333">
        <f t="shared" si="10"/>
        <v>1</v>
      </c>
      <c r="AK66" s="333">
        <f t="shared" si="10"/>
        <v>1</v>
      </c>
      <c r="AL66" s="333">
        <f t="shared" si="10"/>
        <v>1</v>
      </c>
      <c r="AM66" s="333">
        <f t="shared" si="10"/>
        <v>1</v>
      </c>
      <c r="AN66" s="333">
        <f t="shared" si="10"/>
        <v>1</v>
      </c>
      <c r="AO66" s="333">
        <f t="shared" si="10"/>
        <v>1</v>
      </c>
      <c r="AP66" s="333">
        <f t="shared" si="10"/>
        <v>1</v>
      </c>
      <c r="AQ66" s="333">
        <f t="shared" si="10"/>
        <v>1</v>
      </c>
      <c r="AR66" s="333">
        <f t="shared" si="10"/>
        <v>1</v>
      </c>
      <c r="AS66" s="333">
        <f t="shared" si="10"/>
        <v>1</v>
      </c>
      <c r="AT66" s="333">
        <f t="shared" si="11"/>
        <v>1</v>
      </c>
      <c r="AU66" s="333">
        <f t="shared" si="11"/>
        <v>1</v>
      </c>
      <c r="AV66" s="333">
        <f t="shared" si="11"/>
        <v>1</v>
      </c>
      <c r="AW66" s="333">
        <f t="shared" si="11"/>
        <v>1</v>
      </c>
      <c r="AX66" s="333">
        <f t="shared" si="11"/>
        <v>1</v>
      </c>
      <c r="AY66" s="333">
        <f t="shared" si="11"/>
        <v>1</v>
      </c>
      <c r="AZ66" s="333">
        <f t="shared" si="11"/>
        <v>1</v>
      </c>
      <c r="BA66" s="333">
        <f t="shared" si="11"/>
        <v>1</v>
      </c>
      <c r="BB66" s="333">
        <f t="shared" si="11"/>
        <v>1</v>
      </c>
      <c r="BC66" s="333">
        <f t="shared" si="11"/>
        <v>1</v>
      </c>
      <c r="BD66" s="333">
        <f t="shared" si="12"/>
        <v>1</v>
      </c>
      <c r="BE66" s="333">
        <f t="shared" si="12"/>
        <v>1</v>
      </c>
      <c r="BF66" s="333">
        <f t="shared" si="12"/>
        <v>1</v>
      </c>
      <c r="BG66" s="333">
        <f t="shared" si="12"/>
        <v>1</v>
      </c>
      <c r="BH66" s="333">
        <f t="shared" si="12"/>
        <v>1</v>
      </c>
      <c r="BI66" s="333">
        <f t="shared" si="12"/>
        <v>1</v>
      </c>
      <c r="BJ66" s="333">
        <f t="shared" si="12"/>
        <v>1</v>
      </c>
      <c r="BK66" s="333">
        <f t="shared" si="12"/>
        <v>1</v>
      </c>
      <c r="BL66" s="333">
        <f t="shared" si="12"/>
        <v>1</v>
      </c>
      <c r="BM66" s="333">
        <f t="shared" si="12"/>
        <v>1</v>
      </c>
      <c r="BN66" s="333">
        <f t="shared" si="13"/>
        <v>1</v>
      </c>
      <c r="BO66" s="333">
        <f t="shared" si="13"/>
        <v>1</v>
      </c>
      <c r="BP66" s="333">
        <f t="shared" si="13"/>
        <v>1</v>
      </c>
      <c r="BQ66" s="333">
        <f t="shared" si="13"/>
        <v>1</v>
      </c>
      <c r="BR66" s="333">
        <f t="shared" si="13"/>
        <v>1</v>
      </c>
      <c r="BS66" s="333">
        <f t="shared" si="13"/>
        <v>1</v>
      </c>
      <c r="BT66" s="333">
        <f t="shared" si="13"/>
        <v>1</v>
      </c>
      <c r="BU66" s="333">
        <f t="shared" si="13"/>
        <v>1</v>
      </c>
      <c r="BV66" s="333">
        <f t="shared" si="13"/>
        <v>1</v>
      </c>
      <c r="BW66" s="333">
        <f t="shared" si="13"/>
        <v>1</v>
      </c>
    </row>
    <row r="67" spans="1:75" s="308" customFormat="1" ht="11.5" x14ac:dyDescent="0.25">
      <c r="A67" s="911"/>
      <c r="B67" s="309"/>
      <c r="C67" s="309"/>
      <c r="D67" s="309"/>
      <c r="E67" s="316"/>
      <c r="F67" s="341"/>
      <c r="G67" s="309"/>
      <c r="H67" s="309"/>
      <c r="I67" s="342"/>
      <c r="J67" s="309"/>
      <c r="K67" s="309"/>
      <c r="L67" s="912"/>
    </row>
    <row r="68" spans="1:75" s="308" customFormat="1" ht="12" thickBot="1" x14ac:dyDescent="0.3">
      <c r="A68" s="918"/>
      <c r="B68" s="919"/>
      <c r="C68" s="919"/>
      <c r="D68" s="919"/>
      <c r="E68" s="919"/>
      <c r="F68" s="920"/>
      <c r="G68" s="919"/>
      <c r="H68" s="919"/>
      <c r="I68" s="921"/>
      <c r="J68" s="919"/>
      <c r="K68" s="919"/>
      <c r="L68" s="922"/>
    </row>
    <row r="69" spans="1:75" s="308" customFormat="1" ht="11.5" x14ac:dyDescent="0.25">
      <c r="A69" s="311"/>
      <c r="F69" s="319"/>
      <c r="I69" s="317"/>
    </row>
    <row r="70" spans="1:75" s="308" customFormat="1" ht="11.5" x14ac:dyDescent="0.25">
      <c r="A70" s="311"/>
      <c r="F70" s="319"/>
      <c r="I70" s="317"/>
    </row>
    <row r="71" spans="1:75" s="308" customFormat="1" ht="11.5" x14ac:dyDescent="0.25">
      <c r="A71" s="311"/>
      <c r="F71" s="319"/>
      <c r="I71" s="317"/>
    </row>
    <row r="72" spans="1:75" s="308" customFormat="1" ht="11.5" x14ac:dyDescent="0.25">
      <c r="A72" s="311"/>
      <c r="F72" s="319"/>
      <c r="I72" s="317"/>
    </row>
    <row r="73" spans="1:75" s="308" customFormat="1" ht="11.5" x14ac:dyDescent="0.25">
      <c r="A73" s="311"/>
      <c r="F73" s="319"/>
      <c r="I73" s="317"/>
    </row>
    <row r="74" spans="1:75" s="308" customFormat="1" ht="11.5" x14ac:dyDescent="0.25">
      <c r="A74" s="311"/>
      <c r="F74" s="319"/>
      <c r="I74" s="317"/>
    </row>
    <row r="75" spans="1:75" s="308" customFormat="1" ht="11.5" x14ac:dyDescent="0.25">
      <c r="A75" s="311"/>
      <c r="F75" s="319"/>
      <c r="I75" s="317"/>
    </row>
    <row r="76" spans="1:75" s="308" customFormat="1" ht="11.5" x14ac:dyDescent="0.25">
      <c r="A76" s="311"/>
      <c r="F76" s="319"/>
      <c r="I76" s="317"/>
    </row>
    <row r="77" spans="1:75" s="308" customFormat="1" ht="11.5" x14ac:dyDescent="0.25">
      <c r="A77" s="311"/>
      <c r="F77" s="319"/>
      <c r="I77" s="317"/>
    </row>
    <row r="78" spans="1:75" s="308" customFormat="1" ht="11.5" x14ac:dyDescent="0.25">
      <c r="A78" s="311"/>
      <c r="F78" s="319"/>
      <c r="I78" s="317"/>
    </row>
    <row r="79" spans="1:75" s="308" customFormat="1" ht="11.5" x14ac:dyDescent="0.25">
      <c r="A79" s="311"/>
      <c r="F79" s="319"/>
      <c r="I79" s="317"/>
    </row>
    <row r="80" spans="1:75" s="308" customFormat="1" ht="11.5" x14ac:dyDescent="0.25">
      <c r="A80" s="311"/>
      <c r="F80" s="319"/>
      <c r="I80" s="317"/>
    </row>
    <row r="81" spans="1:9" s="308" customFormat="1" ht="11.5" x14ac:dyDescent="0.25">
      <c r="A81" s="311"/>
      <c r="F81" s="319"/>
      <c r="I81" s="317"/>
    </row>
    <row r="82" spans="1:9" s="308" customFormat="1" ht="11.5" x14ac:dyDescent="0.25">
      <c r="A82" s="311"/>
      <c r="F82" s="319"/>
      <c r="I82" s="317"/>
    </row>
    <row r="83" spans="1:9" s="308" customFormat="1" ht="11.5" x14ac:dyDescent="0.25">
      <c r="A83" s="311"/>
      <c r="F83" s="319"/>
      <c r="I83" s="317"/>
    </row>
    <row r="84" spans="1:9" s="308" customFormat="1" ht="11.5" x14ac:dyDescent="0.25">
      <c r="A84" s="311"/>
      <c r="F84" s="319"/>
      <c r="I84" s="317"/>
    </row>
    <row r="85" spans="1:9" s="308" customFormat="1" ht="11.5" x14ac:dyDescent="0.25">
      <c r="A85" s="311"/>
      <c r="F85" s="319"/>
      <c r="I85" s="317"/>
    </row>
    <row r="86" spans="1:9" s="308" customFormat="1" ht="11.5" x14ac:dyDescent="0.25">
      <c r="A86" s="311"/>
      <c r="F86" s="319"/>
      <c r="I86" s="317"/>
    </row>
    <row r="87" spans="1:9" s="308" customFormat="1" ht="11.5" x14ac:dyDescent="0.25">
      <c r="A87" s="311"/>
      <c r="F87" s="319"/>
      <c r="I87" s="317"/>
    </row>
    <row r="88" spans="1:9" s="308" customFormat="1" ht="11.5" x14ac:dyDescent="0.25">
      <c r="A88" s="311"/>
      <c r="F88" s="319"/>
      <c r="I88" s="317"/>
    </row>
    <row r="89" spans="1:9" s="308" customFormat="1" ht="11.5" x14ac:dyDescent="0.25">
      <c r="A89" s="311"/>
      <c r="F89" s="319"/>
      <c r="I89" s="317"/>
    </row>
    <row r="90" spans="1:9" s="308" customFormat="1" ht="11.5" x14ac:dyDescent="0.25">
      <c r="A90" s="311"/>
      <c r="F90" s="319"/>
      <c r="I90" s="317"/>
    </row>
    <row r="91" spans="1:9" s="308" customFormat="1" ht="11.5" x14ac:dyDescent="0.25">
      <c r="A91" s="311"/>
      <c r="F91" s="319"/>
      <c r="I91" s="317"/>
    </row>
    <row r="92" spans="1:9" s="308" customFormat="1" ht="11.5" x14ac:dyDescent="0.25">
      <c r="A92" s="311"/>
      <c r="F92" s="319"/>
      <c r="I92" s="317"/>
    </row>
    <row r="93" spans="1:9" s="308" customFormat="1" ht="11.5" x14ac:dyDescent="0.25">
      <c r="A93" s="311"/>
      <c r="F93" s="319"/>
      <c r="I93" s="317"/>
    </row>
    <row r="94" spans="1:9" s="308" customFormat="1" ht="11.5" x14ac:dyDescent="0.25">
      <c r="A94" s="311"/>
      <c r="F94" s="319"/>
      <c r="I94" s="317"/>
    </row>
    <row r="95" spans="1:9" s="308" customFormat="1" ht="11.5" x14ac:dyDescent="0.25">
      <c r="A95" s="311"/>
      <c r="F95" s="319"/>
      <c r="I95" s="317"/>
    </row>
    <row r="96" spans="1:9" s="308" customFormat="1" ht="11.5" x14ac:dyDescent="0.25">
      <c r="A96" s="311"/>
      <c r="F96" s="319"/>
      <c r="I96" s="317"/>
    </row>
    <row r="97" spans="1:9" s="308" customFormat="1" ht="11.5" x14ac:dyDescent="0.25">
      <c r="A97" s="311"/>
      <c r="F97" s="319"/>
      <c r="I97" s="317"/>
    </row>
    <row r="98" spans="1:9" s="308" customFormat="1" ht="11.5" x14ac:dyDescent="0.25">
      <c r="A98" s="311"/>
      <c r="F98" s="319"/>
      <c r="I98" s="317"/>
    </row>
    <row r="99" spans="1:9" s="308" customFormat="1" ht="11.5" x14ac:dyDescent="0.25">
      <c r="A99" s="311"/>
      <c r="F99" s="319"/>
      <c r="I99" s="317"/>
    </row>
    <row r="100" spans="1:9" s="308" customFormat="1" ht="11.5" x14ac:dyDescent="0.25">
      <c r="A100" s="311"/>
      <c r="F100" s="319"/>
      <c r="I100" s="317"/>
    </row>
    <row r="101" spans="1:9" s="308" customFormat="1" ht="11.5" x14ac:dyDescent="0.25">
      <c r="A101" s="311"/>
      <c r="F101" s="319"/>
      <c r="I101" s="317"/>
    </row>
    <row r="102" spans="1:9" s="308" customFormat="1" ht="11.5" x14ac:dyDescent="0.25">
      <c r="A102" s="311"/>
      <c r="F102" s="319"/>
      <c r="I102" s="317"/>
    </row>
    <row r="103" spans="1:9" s="308" customFormat="1" ht="11.5" x14ac:dyDescent="0.25">
      <c r="A103" s="311"/>
      <c r="F103" s="319"/>
      <c r="I103" s="317"/>
    </row>
    <row r="104" spans="1:9" s="308" customFormat="1" ht="11.5" x14ac:dyDescent="0.25">
      <c r="A104" s="311"/>
      <c r="F104" s="319"/>
      <c r="I104" s="317"/>
    </row>
    <row r="105" spans="1:9" s="308" customFormat="1" ht="11.5" x14ac:dyDescent="0.25">
      <c r="A105" s="311"/>
      <c r="F105" s="319"/>
      <c r="I105" s="317"/>
    </row>
    <row r="106" spans="1:9" s="308" customFormat="1" ht="11.5" x14ac:dyDescent="0.25">
      <c r="A106" s="311"/>
      <c r="F106" s="319"/>
      <c r="I106" s="317"/>
    </row>
    <row r="107" spans="1:9" s="308" customFormat="1" ht="11.5" x14ac:dyDescent="0.25">
      <c r="A107" s="311"/>
      <c r="F107" s="319"/>
      <c r="I107" s="317"/>
    </row>
    <row r="108" spans="1:9" s="308" customFormat="1" ht="11.5" x14ac:dyDescent="0.25">
      <c r="A108" s="311"/>
      <c r="F108" s="319"/>
      <c r="I108" s="317"/>
    </row>
    <row r="109" spans="1:9" s="308" customFormat="1" ht="11.5" x14ac:dyDescent="0.25">
      <c r="A109" s="311"/>
      <c r="F109" s="319"/>
      <c r="I109" s="317"/>
    </row>
    <row r="110" spans="1:9" s="308" customFormat="1" ht="11.5" x14ac:dyDescent="0.25">
      <c r="A110" s="311"/>
      <c r="F110" s="319"/>
      <c r="I110" s="317"/>
    </row>
    <row r="111" spans="1:9" s="308" customFormat="1" ht="11.5" x14ac:dyDescent="0.25">
      <c r="A111" s="311"/>
      <c r="F111" s="319"/>
      <c r="I111" s="317"/>
    </row>
    <row r="112" spans="1:9" s="308" customFormat="1" ht="11.5" x14ac:dyDescent="0.25">
      <c r="A112" s="311"/>
      <c r="F112" s="319"/>
      <c r="I112" s="317"/>
    </row>
    <row r="113" spans="1:9" s="308" customFormat="1" ht="11.5" x14ac:dyDescent="0.25">
      <c r="A113" s="311"/>
      <c r="F113" s="319"/>
      <c r="I113" s="317"/>
    </row>
    <row r="114" spans="1:9" s="308" customFormat="1" ht="11.5" x14ac:dyDescent="0.25">
      <c r="A114" s="311"/>
      <c r="F114" s="319"/>
      <c r="I114" s="317"/>
    </row>
    <row r="115" spans="1:9" s="308" customFormat="1" ht="11.5" x14ac:dyDescent="0.25">
      <c r="A115" s="311"/>
      <c r="F115" s="319"/>
      <c r="I115" s="317"/>
    </row>
    <row r="116" spans="1:9" s="308" customFormat="1" ht="11.5" x14ac:dyDescent="0.25">
      <c r="A116" s="311"/>
      <c r="F116" s="319"/>
      <c r="I116" s="317"/>
    </row>
    <row r="117" spans="1:9" s="308" customFormat="1" ht="11.5" x14ac:dyDescent="0.25">
      <c r="A117" s="311"/>
      <c r="F117" s="319"/>
      <c r="I117" s="317"/>
    </row>
    <row r="118" spans="1:9" s="308" customFormat="1" ht="11.5" x14ac:dyDescent="0.25">
      <c r="A118" s="311"/>
      <c r="F118" s="319"/>
      <c r="I118" s="317"/>
    </row>
    <row r="119" spans="1:9" s="308" customFormat="1" ht="11.5" x14ac:dyDescent="0.25">
      <c r="A119" s="311"/>
      <c r="F119" s="319"/>
      <c r="I119" s="317"/>
    </row>
    <row r="120" spans="1:9" s="308" customFormat="1" ht="11.5" x14ac:dyDescent="0.25">
      <c r="A120" s="311"/>
      <c r="F120" s="319"/>
      <c r="I120" s="317"/>
    </row>
    <row r="121" spans="1:9" s="308" customFormat="1" ht="11.5" x14ac:dyDescent="0.25">
      <c r="A121" s="311"/>
      <c r="F121" s="319"/>
      <c r="I121" s="317"/>
    </row>
    <row r="122" spans="1:9" s="308" customFormat="1" ht="11.5" x14ac:dyDescent="0.25">
      <c r="A122" s="311"/>
      <c r="F122" s="319"/>
      <c r="I122" s="317"/>
    </row>
    <row r="123" spans="1:9" s="308" customFormat="1" ht="11.5" x14ac:dyDescent="0.25">
      <c r="A123" s="311"/>
      <c r="F123" s="319"/>
      <c r="I123" s="317"/>
    </row>
    <row r="124" spans="1:9" s="308" customFormat="1" ht="11.5" x14ac:dyDescent="0.25">
      <c r="A124" s="311"/>
      <c r="F124" s="319"/>
      <c r="I124" s="317"/>
    </row>
    <row r="125" spans="1:9" s="308" customFormat="1" ht="11.5" x14ac:dyDescent="0.25">
      <c r="A125" s="311"/>
      <c r="F125" s="319"/>
      <c r="I125" s="317"/>
    </row>
    <row r="126" spans="1:9" s="308" customFormat="1" ht="11.5" x14ac:dyDescent="0.25">
      <c r="A126" s="311"/>
      <c r="F126" s="319"/>
      <c r="I126" s="317"/>
    </row>
    <row r="127" spans="1:9" s="308" customFormat="1" ht="11.5" x14ac:dyDescent="0.25">
      <c r="A127" s="311"/>
      <c r="F127" s="319"/>
      <c r="I127" s="317"/>
    </row>
    <row r="128" spans="1:9" s="308" customFormat="1" ht="11.5" x14ac:dyDescent="0.25">
      <c r="A128" s="311"/>
      <c r="F128" s="319"/>
      <c r="I128" s="317"/>
    </row>
    <row r="129" spans="1:9" s="308" customFormat="1" ht="11.5" x14ac:dyDescent="0.25">
      <c r="A129" s="311"/>
      <c r="F129" s="319"/>
      <c r="I129" s="317"/>
    </row>
    <row r="130" spans="1:9" s="308" customFormat="1" ht="11.5" x14ac:dyDescent="0.25">
      <c r="A130" s="311"/>
      <c r="F130" s="319"/>
      <c r="I130" s="317"/>
    </row>
    <row r="131" spans="1:9" s="308" customFormat="1" ht="11.5" x14ac:dyDescent="0.25">
      <c r="A131" s="311"/>
      <c r="F131" s="319"/>
      <c r="I131" s="317"/>
    </row>
    <row r="132" spans="1:9" s="308" customFormat="1" ht="11.5" x14ac:dyDescent="0.25">
      <c r="A132" s="311"/>
      <c r="F132" s="319"/>
      <c r="I132" s="317"/>
    </row>
    <row r="133" spans="1:9" s="308" customFormat="1" ht="11.5" x14ac:dyDescent="0.25">
      <c r="A133" s="311"/>
      <c r="F133" s="319"/>
      <c r="I133" s="317"/>
    </row>
    <row r="134" spans="1:9" s="308" customFormat="1" ht="11.5" x14ac:dyDescent="0.25">
      <c r="A134" s="311"/>
      <c r="F134" s="319"/>
      <c r="I134" s="317"/>
    </row>
    <row r="135" spans="1:9" s="308" customFormat="1" ht="11.5" x14ac:dyDescent="0.25">
      <c r="A135" s="311"/>
      <c r="F135" s="319"/>
      <c r="I135" s="317"/>
    </row>
    <row r="136" spans="1:9" s="308" customFormat="1" ht="11.5" x14ac:dyDescent="0.25">
      <c r="A136" s="311"/>
      <c r="F136" s="319"/>
      <c r="I136" s="317"/>
    </row>
    <row r="137" spans="1:9" s="308" customFormat="1" ht="11.5" x14ac:dyDescent="0.25">
      <c r="A137" s="311"/>
      <c r="F137" s="319"/>
      <c r="I137" s="317"/>
    </row>
    <row r="138" spans="1:9" s="308" customFormat="1" ht="11.5" x14ac:dyDescent="0.25">
      <c r="A138" s="311"/>
      <c r="F138" s="319"/>
      <c r="I138" s="317"/>
    </row>
    <row r="139" spans="1:9" s="308" customFormat="1" ht="11.5" x14ac:dyDescent="0.25">
      <c r="A139" s="311"/>
      <c r="F139" s="319"/>
      <c r="I139" s="317"/>
    </row>
    <row r="140" spans="1:9" s="308" customFormat="1" ht="11.5" x14ac:dyDescent="0.25">
      <c r="A140" s="311"/>
      <c r="F140" s="319"/>
      <c r="I140" s="317"/>
    </row>
    <row r="141" spans="1:9" s="308" customFormat="1" ht="11.5" x14ac:dyDescent="0.25">
      <c r="A141" s="311"/>
      <c r="F141" s="319"/>
      <c r="I141" s="317"/>
    </row>
    <row r="142" spans="1:9" s="308" customFormat="1" ht="11.5" x14ac:dyDescent="0.25">
      <c r="A142" s="311"/>
      <c r="F142" s="319"/>
      <c r="I142" s="317"/>
    </row>
    <row r="143" spans="1:9" s="308" customFormat="1" ht="11.5" x14ac:dyDescent="0.25">
      <c r="A143" s="311"/>
      <c r="F143" s="319"/>
      <c r="I143" s="317"/>
    </row>
    <row r="144" spans="1:9" s="308" customFormat="1" ht="11.5" x14ac:dyDescent="0.25">
      <c r="A144" s="311"/>
      <c r="F144" s="319"/>
      <c r="I144" s="317"/>
    </row>
    <row r="145" spans="1:9" s="308" customFormat="1" ht="11.5" x14ac:dyDescent="0.25">
      <c r="A145" s="311"/>
      <c r="F145" s="319"/>
      <c r="I145" s="317"/>
    </row>
    <row r="146" spans="1:9" s="308" customFormat="1" ht="11.5" x14ac:dyDescent="0.25">
      <c r="A146" s="311"/>
      <c r="F146" s="319"/>
      <c r="I146" s="317"/>
    </row>
    <row r="147" spans="1:9" s="308" customFormat="1" ht="11.5" x14ac:dyDescent="0.25">
      <c r="A147" s="311"/>
      <c r="F147" s="319"/>
      <c r="I147" s="317"/>
    </row>
    <row r="148" spans="1:9" s="308" customFormat="1" ht="11.5" x14ac:dyDescent="0.25">
      <c r="A148" s="311"/>
      <c r="F148" s="319"/>
      <c r="I148" s="317"/>
    </row>
    <row r="149" spans="1:9" s="308" customFormat="1" ht="11.5" x14ac:dyDescent="0.25">
      <c r="A149" s="311"/>
      <c r="F149" s="319"/>
      <c r="I149" s="317"/>
    </row>
    <row r="150" spans="1:9" s="308" customFormat="1" ht="11.5" x14ac:dyDescent="0.25">
      <c r="A150" s="311"/>
      <c r="F150" s="319"/>
      <c r="I150" s="317"/>
    </row>
    <row r="151" spans="1:9" s="308" customFormat="1" ht="11.5" x14ac:dyDescent="0.25">
      <c r="A151" s="311"/>
      <c r="F151" s="319"/>
      <c r="I151" s="317"/>
    </row>
    <row r="152" spans="1:9" s="308" customFormat="1" ht="11.5" x14ac:dyDescent="0.25">
      <c r="A152" s="311"/>
      <c r="F152" s="319"/>
      <c r="I152" s="317"/>
    </row>
    <row r="153" spans="1:9" s="308" customFormat="1" ht="11.5" x14ac:dyDescent="0.25">
      <c r="A153" s="311"/>
      <c r="F153" s="319"/>
      <c r="I153" s="317"/>
    </row>
    <row r="154" spans="1:9" s="308" customFormat="1" ht="11.5" x14ac:dyDescent="0.25">
      <c r="A154" s="311"/>
      <c r="F154" s="319"/>
      <c r="I154" s="317"/>
    </row>
    <row r="155" spans="1:9" s="308" customFormat="1" ht="11.5" x14ac:dyDescent="0.25">
      <c r="A155" s="311"/>
      <c r="F155" s="319"/>
      <c r="I155" s="317"/>
    </row>
    <row r="156" spans="1:9" s="308" customFormat="1" ht="11.5" x14ac:dyDescent="0.25">
      <c r="A156" s="311"/>
      <c r="F156" s="319"/>
      <c r="I156" s="317"/>
    </row>
    <row r="157" spans="1:9" s="308" customFormat="1" ht="11.5" x14ac:dyDescent="0.25">
      <c r="A157" s="311"/>
      <c r="F157" s="319"/>
      <c r="I157" s="317"/>
    </row>
    <row r="158" spans="1:9" s="308" customFormat="1" ht="11.5" x14ac:dyDescent="0.25">
      <c r="A158" s="311"/>
      <c r="F158" s="319"/>
      <c r="I158" s="317"/>
    </row>
    <row r="159" spans="1:9" s="308" customFormat="1" ht="11.5" x14ac:dyDescent="0.25">
      <c r="A159" s="311"/>
      <c r="F159" s="319"/>
      <c r="I159" s="317"/>
    </row>
    <row r="160" spans="1:9" s="308" customFormat="1" ht="11.5" x14ac:dyDescent="0.25">
      <c r="A160" s="311"/>
      <c r="F160" s="319"/>
      <c r="I160" s="317"/>
    </row>
    <row r="161" spans="1:9" s="308" customFormat="1" ht="11.5" x14ac:dyDescent="0.25">
      <c r="A161" s="311"/>
      <c r="F161" s="319"/>
      <c r="I161" s="317"/>
    </row>
    <row r="162" spans="1:9" s="308" customFormat="1" ht="11.5" x14ac:dyDescent="0.25">
      <c r="A162" s="311"/>
      <c r="F162" s="319"/>
      <c r="I162" s="317"/>
    </row>
    <row r="163" spans="1:9" s="308" customFormat="1" ht="11.5" x14ac:dyDescent="0.25">
      <c r="A163" s="311"/>
      <c r="F163" s="319"/>
      <c r="I163" s="317"/>
    </row>
    <row r="164" spans="1:9" s="308" customFormat="1" ht="11.5" x14ac:dyDescent="0.25">
      <c r="A164" s="311"/>
      <c r="F164" s="319"/>
      <c r="I164" s="317"/>
    </row>
    <row r="165" spans="1:9" s="308" customFormat="1" ht="11.5" x14ac:dyDescent="0.25">
      <c r="A165" s="311"/>
      <c r="F165" s="319"/>
      <c r="I165" s="317"/>
    </row>
    <row r="166" spans="1:9" s="308" customFormat="1" ht="11.5" x14ac:dyDescent="0.25">
      <c r="A166" s="311"/>
      <c r="F166" s="319"/>
      <c r="I166" s="317"/>
    </row>
    <row r="167" spans="1:9" s="308" customFormat="1" ht="11.5" x14ac:dyDescent="0.25">
      <c r="A167" s="311"/>
      <c r="F167" s="319"/>
      <c r="I167" s="317"/>
    </row>
    <row r="168" spans="1:9" s="308" customFormat="1" ht="11.5" x14ac:dyDescent="0.25">
      <c r="A168" s="311"/>
      <c r="F168" s="319"/>
      <c r="I168" s="317"/>
    </row>
    <row r="169" spans="1:9" s="308" customFormat="1" ht="11.5" x14ac:dyDescent="0.25">
      <c r="A169" s="311"/>
      <c r="F169" s="319"/>
      <c r="I169" s="317"/>
    </row>
    <row r="170" spans="1:9" s="308" customFormat="1" ht="11.5" x14ac:dyDescent="0.25">
      <c r="A170" s="311"/>
      <c r="F170" s="319"/>
      <c r="I170" s="317"/>
    </row>
    <row r="171" spans="1:9" s="308" customFormat="1" ht="11.5" x14ac:dyDescent="0.25">
      <c r="A171" s="311"/>
      <c r="F171" s="319"/>
      <c r="I171" s="317"/>
    </row>
    <row r="172" spans="1:9" s="308" customFormat="1" ht="11.5" x14ac:dyDescent="0.25">
      <c r="A172" s="311"/>
      <c r="F172" s="319"/>
      <c r="I172" s="317"/>
    </row>
    <row r="173" spans="1:9" s="308" customFormat="1" ht="11.5" x14ac:dyDescent="0.25">
      <c r="A173" s="311"/>
      <c r="F173" s="319"/>
      <c r="I173" s="317"/>
    </row>
    <row r="174" spans="1:9" s="308" customFormat="1" ht="11.5" x14ac:dyDescent="0.25">
      <c r="A174" s="311"/>
      <c r="F174" s="319"/>
      <c r="I174" s="317"/>
    </row>
    <row r="175" spans="1:9" x14ac:dyDescent="0.25"/>
    <row r="176" spans="1:9"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sheetData>
  <sheetProtection algorithmName="SHA-512" hashValue="4KN7pHXOwkt4gOcifo5pTBD4FUnjzO6JA5O0+MqsXyU1xH+6F5ic49JS+cumJyWaRQrMCgHKeM6RlMQSjhTGQA==" saltValue="IVhLDrMdw10JntKxB5Kgtg==" spinCount="100000" sheet="1" formatColumns="0" formatRows="0"/>
  <conditionalFormatting sqref="E36">
    <cfRule type="cellIs" dxfId="3" priority="1" operator="equal">
      <formula>"""""NADER TOELICHTEN IN PROJECTPLAN"""""</formula>
    </cfRule>
  </conditionalFormatting>
  <conditionalFormatting sqref="E60 I60">
    <cfRule type="cellIs" dxfId="2" priority="6" operator="equal">
      <formula>"""""NADER TOELICHTEN IN PROJECTPLAN"""""</formula>
    </cfRule>
  </conditionalFormatting>
  <dataValidations xWindow="674" yWindow="1234" count="6">
    <dataValidation allowBlank="1" showInputMessage="1" showErrorMessage="1" promptTitle="Bronkosten ZLT" prompt="Voer hier alleen kosten in als er sprake is van een ZLT-net. Bij HT-, MT- en LT-netten wordt gerekend met een vaste marge tussen in- en verkoop van warmte en dient hier een waarde van 0 te worden ingevoerd." sqref="G59" xr:uid="{FA79ECC4-2DF1-4902-980B-53B28EB7E693}"/>
    <dataValidation allowBlank="1" showInputMessage="1" showErrorMessage="1" prompt="Gewogen gemiddelde bijdrage in kosten door de gebouweigenaar. Indien eerder SAH-subsidie is aangevraagd dan gebruik je voor die woningen dezelfde aansluitbijdrage als bij de SAH-aanvraag." sqref="G33" xr:uid="{929A8072-6786-4DDF-894B-D0111BAD51E7}"/>
    <dataValidation type="list" allowBlank="1" showInputMessage="1" showErrorMessage="1" sqref="G23" xr:uid="{7A355089-D48E-4DA7-BB54-0FABABFD0957}">
      <formula1>$CG$1:$CG$2</formula1>
    </dataValidation>
    <dataValidation allowBlank="1" showInputMessage="1" showErrorMessage="1" prompt="Marge inkoopkosten minus levering. Dit geldt alleen bij MT- en LT-netten. Bij ZLT-netten worden de inkoop- en productiekosten van warmte separaat opgegeven." sqref="G41:G42" xr:uid="{5D671D39-DFA3-4ED9-B360-BDFEE42C4452}"/>
    <dataValidation allowBlank="1" showInputMessage="1" showErrorMessage="1" prompt="Indien de afleverset wordt gehuurd bij de warmteleverancier hier de jaarljikse vergoeding ingeven." sqref="G39" xr:uid="{0AA3A8F6-2948-4289-9F07-5E37AD3E3DB3}"/>
    <dataValidation allowBlank="1" showInputMessage="1" showErrorMessage="1" prompt="Projectrendement na belastingen" sqref="G29" xr:uid="{00E54D43-4E26-467F-BBE2-5C949245C14C}"/>
  </dataValidations>
  <pageMargins left="0.74803149606299213" right="0.74803149606299213" top="0.74803149606299213" bottom="0.74803149606299213" header="0.31496062992125984" footer="0.31496062992125984"/>
  <pageSetup paperSize="9" scale="46" orientation="landscape" r:id="rId1"/>
  <extLst>
    <ext xmlns:x14="http://schemas.microsoft.com/office/spreadsheetml/2009/9/main" uri="{78C0D931-6437-407d-A8EE-F0AAD7539E65}">
      <x14:conditionalFormattings>
        <x14:conditionalFormatting xmlns:xm="http://schemas.microsoft.com/office/excel/2006/main">
          <x14:cfRule type="expression" priority="2" id="{08E66DD8-1544-4541-A234-344AB5897D47}">
            <xm:f>$G$16=ORT_Lijsten!$B$5</xm:f>
            <x14:dxf>
              <fill>
                <patternFill>
                  <bgColor rgb="FFCCCCCC"/>
                </patternFill>
              </fill>
            </x14:dxf>
          </x14:cfRule>
          <xm:sqref>G40</xm:sqref>
        </x14:conditionalFormatting>
        <x14:conditionalFormatting xmlns:xm="http://schemas.microsoft.com/office/excel/2006/main">
          <x14:cfRule type="expression" priority="5" id="{D9D9B9FB-8C51-4EF1-8CA2-4E1D011EFCA6}">
            <xm:f>$G$16=ORT_Lijsten!$B$5</xm:f>
            <x14:dxf>
              <fill>
                <patternFill>
                  <bgColor rgb="FFFFFF99"/>
                </patternFill>
              </fill>
            </x14:dxf>
          </x14:cfRule>
          <xm:sqref>G59</xm:sqref>
        </x14:conditionalFormatting>
      </x14:conditionalFormattings>
    </ext>
    <ext xmlns:x14="http://schemas.microsoft.com/office/spreadsheetml/2009/9/main" uri="{CCE6A557-97BC-4b89-ADB6-D9C93CAAB3DF}">
      <x14:dataValidations xmlns:xm="http://schemas.microsoft.com/office/excel/2006/main" xWindow="674" yWindow="1234" count="3">
        <x14:dataValidation type="list" allowBlank="1" showInputMessage="1" showErrorMessage="1" promptTitle="Temperatuur levering klant" prompt="HT / MT: warmte direct geschikt voor ruimteverwarming en warm tapwater_x000a_LT: warmte direct geschikt voor alleen ruimteverwarming_x000a_ZLT: warmte niet direct geschikt voor ruimteverwarming en warm tapwater. " xr:uid="{920E8619-24A1-4F1F-A6E5-35053220BDD2}">
          <x14:formula1>
            <xm:f>ORT_Lijsten!$B$3:$B$5</xm:f>
          </x14:formula1>
          <xm:sqref>G16</xm:sqref>
        </x14:dataValidation>
        <x14:dataValidation type="list" allowBlank="1" showInputMessage="1" showErrorMessage="1" prompt="Voor aftap- en restwarmte geldt een hogere marge. Kies 'overige' als minimaal 60% van de warmte in 2030 komt uit andere bronnen dan aftap- of restwarmte volgens de duurzaamheidsberekening. " xr:uid="{4C9C1BE7-5F9C-475D-960E-FED7850D3928}">
          <x14:formula1>
            <xm:f>ORT_Lijsten!$A$9:$A$10</xm:f>
          </x14:formula1>
          <xm:sqref>G40</xm:sqref>
        </x14:dataValidation>
        <x14:dataValidation type="decimal" allowBlank="1" showInputMessage="1" showErrorMessage="1" errorTitle="Ongeldige waarde" error="Waarde is lager dan het minimum uit de regeling (€240) of hoger dan het ACM maximum." prompt="Gewogen gemiddelde vastrecht voor bewoner en/of gebouweigenaar. Standaard voor de berekening is het maximum ACM-tarief. Onderbouw dit indien er met een korting wordt gerekend op het maximum tarief." xr:uid="{58EC40BA-0E3B-4096-B0B2-41FBFF7EC8F6}">
          <x14:formula1>
            <xm:f>'Waarden regeling'!C44</xm:f>
          </x14:formula1>
          <x14:formula2>
            <xm:f>G34</xm:f>
          </x14:formula2>
          <xm:sqref>G35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70">
    <tabColor rgb="FFFFFF00"/>
    <pageSetUpPr fitToPage="1"/>
  </sheetPr>
  <dimension ref="A1:R42"/>
  <sheetViews>
    <sheetView showGridLines="0" zoomScaleNormal="100" zoomScaleSheetLayoutView="80" workbookViewId="0">
      <selection activeCell="C19" sqref="C19"/>
    </sheetView>
  </sheetViews>
  <sheetFormatPr defaultColWidth="9.26953125" defaultRowHeight="11.5" x14ac:dyDescent="0.25"/>
  <cols>
    <col min="1" max="1" width="37.453125" style="31" customWidth="1"/>
    <col min="2" max="2" width="24.26953125" style="31" customWidth="1"/>
    <col min="3" max="4" width="19.453125" style="31" customWidth="1"/>
    <col min="5" max="5" width="16.453125" style="31" customWidth="1"/>
    <col min="6" max="6" width="20.26953125" style="31" customWidth="1"/>
    <col min="7" max="7" width="32.26953125" style="31" customWidth="1"/>
    <col min="8" max="8" width="24.26953125" style="31" customWidth="1"/>
    <col min="9" max="9" width="30" style="31" customWidth="1"/>
    <col min="10" max="13" width="16.453125" style="31" customWidth="1"/>
    <col min="14" max="18" width="16.26953125" style="31" customWidth="1"/>
    <col min="19" max="24" width="9.26953125" style="31"/>
    <col min="25" max="27" width="9.26953125" style="31" customWidth="1"/>
    <col min="28" max="16384" width="9.26953125" style="31"/>
  </cols>
  <sheetData>
    <row r="1" spans="1:17" ht="18.5" x14ac:dyDescent="0.25">
      <c r="A1" s="208" t="s">
        <v>458</v>
      </c>
      <c r="B1" s="209"/>
      <c r="C1" s="209"/>
      <c r="D1" s="209"/>
      <c r="E1" s="209"/>
      <c r="F1" s="210"/>
      <c r="G1" s="210"/>
      <c r="H1" s="210"/>
      <c r="I1" s="211"/>
    </row>
    <row r="2" spans="1:17" ht="12.75" customHeight="1" x14ac:dyDescent="0.25">
      <c r="A2" s="212"/>
      <c r="B2" s="213" t="s">
        <v>219</v>
      </c>
      <c r="C2" s="1185" t="str">
        <f>Project!B4</f>
        <v>[Dit veld vult RVO in]</v>
      </c>
      <c r="D2" s="1186"/>
      <c r="E2" s="1186"/>
      <c r="F2" s="214"/>
      <c r="G2" s="214"/>
      <c r="H2" s="214"/>
      <c r="I2" s="215"/>
    </row>
    <row r="3" spans="1:17" ht="12.75" customHeight="1" thickBot="1" x14ac:dyDescent="0.3">
      <c r="A3" s="216"/>
      <c r="B3" s="217" t="s">
        <v>345</v>
      </c>
      <c r="C3" s="1187">
        <f>Project!B7</f>
        <v>0</v>
      </c>
      <c r="D3" s="1186"/>
      <c r="E3" s="1186"/>
      <c r="F3" s="218"/>
      <c r="G3" s="218"/>
      <c r="H3" s="218"/>
      <c r="I3" s="219"/>
    </row>
    <row r="4" spans="1:17" ht="12.75" customHeight="1" x14ac:dyDescent="0.25">
      <c r="A4" s="63"/>
      <c r="B4" s="64"/>
      <c r="C4" s="64"/>
      <c r="D4" s="55"/>
      <c r="E4" s="55"/>
      <c r="F4" s="55"/>
      <c r="G4" s="55"/>
      <c r="H4" s="55"/>
      <c r="I4" s="55"/>
      <c r="J4" s="55"/>
      <c r="K4" s="55"/>
      <c r="L4" s="55"/>
      <c r="M4" s="55"/>
      <c r="N4" s="55"/>
      <c r="O4" s="55"/>
      <c r="P4" s="55"/>
      <c r="Q4" s="55"/>
    </row>
    <row r="5" spans="1:17" ht="12.75" customHeight="1" thickBot="1" x14ac:dyDescent="0.3">
      <c r="A5" s="65" t="s">
        <v>459</v>
      </c>
      <c r="B5" s="55"/>
      <c r="D5" s="66"/>
      <c r="E5" s="55"/>
      <c r="F5" s="55"/>
      <c r="G5" s="55"/>
      <c r="H5" s="55"/>
      <c r="I5" s="55"/>
      <c r="J5" s="55"/>
      <c r="K5" s="55"/>
    </row>
    <row r="6" spans="1:17" ht="78" customHeight="1" thickBot="1" x14ac:dyDescent="0.3">
      <c r="A6" s="227" t="s">
        <v>460</v>
      </c>
      <c r="B6" s="227" t="str">
        <f>+Begroting!B216</f>
        <v>A. Investeringskosten</v>
      </c>
      <c r="C6" s="227" t="str">
        <f>+Begroting!B217</f>
        <v>C. Verstrekte of ontvangen steun/subsidie</v>
      </c>
      <c r="D6" s="227" t="str">
        <f>+Begroting!B218</f>
        <v xml:space="preserve">D. Maximale subsidie WIS </v>
      </c>
      <c r="E6" s="227" t="s">
        <v>461</v>
      </c>
      <c r="F6" s="228" t="str">
        <f>+Begroting!B220</f>
        <v>Nog te financieren</v>
      </c>
    </row>
    <row r="7" spans="1:17" ht="12.75" customHeight="1" thickBot="1" x14ac:dyDescent="0.3">
      <c r="A7" s="185">
        <f>Project!B16</f>
        <v>0</v>
      </c>
      <c r="B7" s="347">
        <f>Begroting!Q41+Begroting!F64+Begroting!F86+Begroting!F109+Begroting!Q148+Begroting!Q173</f>
        <v>0</v>
      </c>
      <c r="C7" s="347">
        <f>+Begroting!Q217</f>
        <v>0</v>
      </c>
      <c r="D7" s="348">
        <f>+Begroting!Q218</f>
        <v>0</v>
      </c>
      <c r="E7" s="348">
        <f>Begroting!Q219</f>
        <v>0</v>
      </c>
      <c r="F7" s="349">
        <f>+B7-C7-D7-E7</f>
        <v>0</v>
      </c>
    </row>
    <row r="8" spans="1:17" ht="12.75" customHeight="1" x14ac:dyDescent="0.25">
      <c r="A8" s="67"/>
      <c r="B8"/>
      <c r="C8"/>
      <c r="D8" s="68"/>
      <c r="E8" s="68"/>
      <c r="F8" s="68"/>
      <c r="G8" s="69"/>
      <c r="H8" s="70"/>
      <c r="I8" s="71"/>
      <c r="J8" s="70"/>
      <c r="K8" s="71"/>
      <c r="L8" s="70"/>
      <c r="M8" s="71"/>
      <c r="N8" s="70"/>
      <c r="O8" s="71"/>
    </row>
    <row r="9" spans="1:17" ht="12.75" customHeight="1" x14ac:dyDescent="0.25">
      <c r="A9" s="899" t="s">
        <v>462</v>
      </c>
      <c r="B9" s="68"/>
      <c r="C9" s="68"/>
      <c r="D9" s="68"/>
      <c r="E9" s="68"/>
      <c r="F9" s="68"/>
    </row>
    <row r="10" spans="1:17" ht="47.15" customHeight="1" thickBot="1" x14ac:dyDescent="0.3">
      <c r="A10" s="1004" t="s">
        <v>463</v>
      </c>
      <c r="B10" s="1005" t="s">
        <v>464</v>
      </c>
      <c r="C10" s="1188" t="s">
        <v>465</v>
      </c>
      <c r="D10" s="1189"/>
      <c r="E10" s="1173" t="s">
        <v>466</v>
      </c>
      <c r="F10" s="1174"/>
      <c r="G10" s="1174"/>
      <c r="H10" s="1174"/>
      <c r="I10" s="1175"/>
      <c r="N10" s="72"/>
      <c r="O10" s="72"/>
    </row>
    <row r="11" spans="1:17" ht="59.9" customHeight="1" x14ac:dyDescent="0.25">
      <c r="A11" s="1006" t="str">
        <f>+C6</f>
        <v>C. Verstrekte of ontvangen steun/subsidie</v>
      </c>
      <c r="B11" s="186">
        <f>+C7</f>
        <v>0</v>
      </c>
      <c r="C11" s="1171" t="s">
        <v>467</v>
      </c>
      <c r="D11" s="1172"/>
      <c r="E11" s="1176" t="s">
        <v>468</v>
      </c>
      <c r="F11" s="1177"/>
      <c r="G11" s="1177"/>
      <c r="H11" s="1177"/>
      <c r="I11" s="1178"/>
      <c r="N11" s="72"/>
      <c r="O11" s="72"/>
    </row>
    <row r="12" spans="1:17" ht="17.25" customHeight="1" x14ac:dyDescent="0.25">
      <c r="A12" s="1006" t="str">
        <f>+D6</f>
        <v xml:space="preserve">D. Maximale subsidie WIS </v>
      </c>
      <c r="B12" s="266">
        <f>+D7</f>
        <v>0</v>
      </c>
      <c r="C12" s="1190"/>
      <c r="D12" s="1191"/>
      <c r="E12" s="1179"/>
      <c r="F12" s="1180"/>
      <c r="G12" s="1180"/>
      <c r="H12" s="1180"/>
      <c r="I12" s="1181"/>
      <c r="N12" s="72"/>
      <c r="O12" s="72"/>
    </row>
    <row r="13" spans="1:17" ht="29.25" customHeight="1" x14ac:dyDescent="0.25">
      <c r="A13" s="1006" t="str">
        <f>+E6</f>
        <v>Te ontvangen aansluit-bijdragen</v>
      </c>
      <c r="B13" s="186">
        <f>+E7</f>
        <v>0</v>
      </c>
      <c r="C13" s="1190"/>
      <c r="D13" s="1191"/>
      <c r="E13" s="1179"/>
      <c r="F13" s="1180"/>
      <c r="G13" s="1180"/>
      <c r="H13" s="1180"/>
      <c r="I13" s="1181"/>
      <c r="N13" s="72"/>
      <c r="O13" s="72"/>
    </row>
    <row r="14" spans="1:17" ht="17.25" customHeight="1" x14ac:dyDescent="0.25">
      <c r="A14" s="1007"/>
      <c r="B14" s="193"/>
      <c r="C14" s="346"/>
      <c r="D14" s="1008"/>
      <c r="E14" s="1179"/>
      <c r="F14" s="1180"/>
      <c r="G14" s="1180"/>
      <c r="H14" s="1180"/>
      <c r="I14" s="1181"/>
      <c r="N14" s="72"/>
      <c r="O14" s="72"/>
    </row>
    <row r="15" spans="1:17" ht="17.25" customHeight="1" x14ac:dyDescent="0.25">
      <c r="A15" s="1007"/>
      <c r="B15" s="193"/>
      <c r="C15" s="346"/>
      <c r="D15" s="1008"/>
      <c r="E15" s="1179"/>
      <c r="F15" s="1180"/>
      <c r="G15" s="1180"/>
      <c r="H15" s="1180"/>
      <c r="I15" s="1181"/>
      <c r="N15" s="72"/>
      <c r="O15" s="72"/>
    </row>
    <row r="16" spans="1:17" ht="17.25" customHeight="1" x14ac:dyDescent="0.25">
      <c r="A16" s="1007"/>
      <c r="B16" s="193"/>
      <c r="C16" s="346"/>
      <c r="D16" s="1008"/>
      <c r="E16" s="1179"/>
      <c r="F16" s="1180"/>
      <c r="G16" s="1180"/>
      <c r="H16" s="1180"/>
      <c r="I16" s="1181"/>
      <c r="N16" s="72"/>
      <c r="O16" s="72"/>
    </row>
    <row r="17" spans="1:18" ht="17.25" customHeight="1" x14ac:dyDescent="0.25">
      <c r="A17" s="1007"/>
      <c r="B17" s="193"/>
      <c r="C17" s="346"/>
      <c r="D17" s="1008"/>
      <c r="E17" s="1179"/>
      <c r="F17" s="1180"/>
      <c r="G17" s="1180"/>
      <c r="H17" s="1180"/>
      <c r="I17" s="1181"/>
      <c r="N17" s="72"/>
      <c r="O17" s="72"/>
      <c r="P17" s="70"/>
      <c r="Q17" s="71"/>
      <c r="R17" s="73"/>
    </row>
    <row r="18" spans="1:18" ht="17.25" customHeight="1" thickBot="1" x14ac:dyDescent="0.3">
      <c r="A18" s="1009"/>
      <c r="B18" s="1010"/>
      <c r="C18" s="1011"/>
      <c r="D18" s="1012"/>
      <c r="E18" s="1182"/>
      <c r="F18" s="1183"/>
      <c r="G18" s="1183"/>
      <c r="H18" s="1183"/>
      <c r="I18" s="1184"/>
      <c r="N18" s="72"/>
      <c r="O18" s="72"/>
      <c r="Q18" s="71"/>
      <c r="R18" s="73"/>
    </row>
    <row r="19" spans="1:18" ht="12.75" customHeight="1" thickBot="1" x14ac:dyDescent="0.3">
      <c r="A19" s="187" t="s">
        <v>287</v>
      </c>
      <c r="B19" s="350">
        <f>SUM(B11:B18)</f>
        <v>0</v>
      </c>
      <c r="C19" s="74" t="str">
        <f>IF(B19&lt;B7,"onderbouw de financiering van de volledige investeringskosten","")</f>
        <v/>
      </c>
      <c r="D19" s="75"/>
      <c r="O19" s="71"/>
    </row>
    <row r="20" spans="1:18" ht="12.75" customHeight="1" x14ac:dyDescent="0.25">
      <c r="A20" s="67"/>
      <c r="B20" s="142"/>
      <c r="C20" s="143"/>
      <c r="D20" s="75"/>
      <c r="O20" s="71"/>
    </row>
    <row r="21" spans="1:18" ht="12.75" customHeight="1" thickBot="1" x14ac:dyDescent="0.3">
      <c r="A21" s="67"/>
      <c r="B21" s="71"/>
      <c r="C21" s="71"/>
      <c r="O21" s="71"/>
    </row>
    <row r="22" spans="1:18" s="112" customFormat="1" ht="13.5" x14ac:dyDescent="0.25">
      <c r="A22" s="928" t="s">
        <v>469</v>
      </c>
      <c r="B22" s="929"/>
      <c r="C22" s="929"/>
      <c r="D22" s="929"/>
      <c r="E22" s="929"/>
      <c r="F22" s="929"/>
      <c r="G22" s="929"/>
      <c r="H22" s="929"/>
      <c r="I22" s="930"/>
    </row>
    <row r="23" spans="1:18" ht="11.25" customHeight="1" x14ac:dyDescent="0.25">
      <c r="A23" s="931" t="s">
        <v>470</v>
      </c>
      <c r="B23" s="931"/>
      <c r="C23" s="931"/>
      <c r="D23" s="931"/>
      <c r="E23" s="931"/>
      <c r="F23" s="931"/>
      <c r="G23" s="931"/>
      <c r="H23" s="931"/>
      <c r="I23" s="932"/>
      <c r="J23" s="9"/>
      <c r="K23" s="9"/>
      <c r="L23" s="9"/>
      <c r="M23" s="9"/>
      <c r="N23" s="9"/>
      <c r="O23" s="9"/>
      <c r="P23" s="9"/>
      <c r="Q23" s="9"/>
    </row>
    <row r="24" spans="1:18" ht="11.25" customHeight="1" x14ac:dyDescent="0.25">
      <c r="A24" s="931" t="s">
        <v>471</v>
      </c>
      <c r="B24" s="931"/>
      <c r="C24" s="931"/>
      <c r="D24" s="931"/>
      <c r="E24" s="931"/>
      <c r="F24" s="931"/>
      <c r="G24" s="931"/>
      <c r="H24" s="931"/>
      <c r="I24" s="932"/>
      <c r="J24" s="9"/>
      <c r="K24" s="9"/>
      <c r="L24" s="9"/>
      <c r="M24" s="9"/>
      <c r="N24" s="9"/>
      <c r="O24" s="9"/>
      <c r="P24" s="9"/>
      <c r="Q24" s="9"/>
    </row>
    <row r="25" spans="1:18" ht="11.25" customHeight="1" x14ac:dyDescent="0.25">
      <c r="A25" s="931"/>
      <c r="B25" s="931"/>
      <c r="C25" s="931"/>
      <c r="D25" s="931"/>
      <c r="E25" s="931"/>
      <c r="F25" s="931"/>
      <c r="G25" s="931"/>
      <c r="H25" s="931"/>
      <c r="I25" s="932"/>
      <c r="J25" s="9"/>
      <c r="K25" s="9"/>
      <c r="L25" s="9"/>
      <c r="M25" s="9"/>
      <c r="N25" s="9"/>
      <c r="O25" s="9"/>
      <c r="P25" s="9"/>
      <c r="Q25" s="9"/>
    </row>
    <row r="26" spans="1:18" ht="11.25" customHeight="1" x14ac:dyDescent="0.25">
      <c r="A26" s="931" t="s">
        <v>472</v>
      </c>
      <c r="B26" s="931"/>
      <c r="C26" s="931"/>
      <c r="D26" s="931"/>
      <c r="E26" s="931"/>
      <c r="F26" s="931"/>
      <c r="G26" s="931"/>
      <c r="H26" s="931"/>
      <c r="I26" s="932"/>
      <c r="J26" s="9"/>
      <c r="K26" s="9"/>
      <c r="L26" s="9"/>
      <c r="M26" s="9"/>
      <c r="N26" s="9"/>
      <c r="O26" s="9"/>
      <c r="P26" s="9"/>
      <c r="Q26" s="9"/>
    </row>
    <row r="27" spans="1:18" ht="11.25" customHeight="1" x14ac:dyDescent="0.25">
      <c r="A27" s="931"/>
      <c r="B27" s="931"/>
      <c r="C27" s="931"/>
      <c r="D27" s="931"/>
      <c r="E27" s="931"/>
      <c r="F27" s="931"/>
      <c r="G27" s="931"/>
      <c r="H27" s="931"/>
      <c r="I27" s="932"/>
      <c r="J27" s="9"/>
      <c r="K27" s="9"/>
      <c r="L27" s="9"/>
      <c r="M27" s="9"/>
      <c r="N27" s="9"/>
      <c r="O27" s="9"/>
      <c r="P27" s="9"/>
      <c r="Q27" s="9"/>
    </row>
    <row r="28" spans="1:18" ht="11.25" customHeight="1" x14ac:dyDescent="0.25">
      <c r="A28" s="1108" t="s">
        <v>473</v>
      </c>
      <c r="B28" s="931"/>
      <c r="C28" s="931"/>
      <c r="D28" s="931"/>
      <c r="E28" s="931"/>
      <c r="F28" s="931"/>
      <c r="G28" s="931"/>
      <c r="H28" s="931"/>
      <c r="I28" s="932"/>
      <c r="J28" s="9"/>
      <c r="K28" s="9"/>
      <c r="L28" s="9"/>
      <c r="M28" s="9"/>
      <c r="N28" s="9"/>
      <c r="O28" s="9"/>
      <c r="P28" s="9"/>
      <c r="Q28" s="9"/>
    </row>
    <row r="29" spans="1:18" ht="11.25" customHeight="1" x14ac:dyDescent="0.25">
      <c r="A29" s="931" t="s">
        <v>474</v>
      </c>
      <c r="B29" s="931"/>
      <c r="C29" s="931"/>
      <c r="D29" s="931"/>
      <c r="E29" s="931"/>
      <c r="F29" s="931"/>
      <c r="G29" s="931"/>
      <c r="H29" s="931"/>
      <c r="I29" s="932"/>
      <c r="J29" s="9"/>
      <c r="K29" s="9"/>
      <c r="L29" s="9"/>
      <c r="M29" s="9"/>
      <c r="N29" s="9"/>
      <c r="O29" s="9"/>
      <c r="P29" s="9"/>
      <c r="Q29" s="9"/>
    </row>
    <row r="30" spans="1:18" ht="11.25" customHeight="1" x14ac:dyDescent="0.25">
      <c r="A30" s="931" t="s">
        <v>475</v>
      </c>
      <c r="B30" s="209"/>
      <c r="C30" s="931"/>
      <c r="D30" s="931"/>
      <c r="E30" s="931"/>
      <c r="F30" s="931"/>
      <c r="G30" s="931"/>
      <c r="H30" s="931"/>
      <c r="I30" s="932"/>
      <c r="J30" s="9"/>
      <c r="K30" s="9"/>
      <c r="L30" s="9"/>
      <c r="M30" s="9"/>
      <c r="N30" s="9"/>
      <c r="O30" s="9"/>
      <c r="P30" s="9"/>
      <c r="Q30" s="9"/>
    </row>
    <row r="31" spans="1:18" ht="11.25" customHeight="1" x14ac:dyDescent="0.25">
      <c r="A31" s="1109" t="s">
        <v>476</v>
      </c>
      <c r="B31" s="209"/>
      <c r="C31" s="931"/>
      <c r="D31" s="931"/>
      <c r="E31" s="931"/>
      <c r="F31" s="931"/>
      <c r="G31" s="931"/>
      <c r="H31" s="931"/>
      <c r="I31" s="932"/>
      <c r="J31" s="9"/>
      <c r="K31" s="9"/>
      <c r="L31" s="9"/>
      <c r="M31" s="9"/>
      <c r="N31" s="9"/>
      <c r="O31" s="9"/>
      <c r="P31" s="9"/>
      <c r="Q31" s="9"/>
    </row>
    <row r="32" spans="1:18" ht="11.25" customHeight="1" x14ac:dyDescent="0.25">
      <c r="A32" s="931" t="s">
        <v>477</v>
      </c>
      <c r="B32" s="931"/>
      <c r="C32" s="931"/>
      <c r="D32" s="931"/>
      <c r="E32" s="931"/>
      <c r="F32" s="931"/>
      <c r="G32" s="931"/>
      <c r="H32" s="931"/>
      <c r="I32" s="932"/>
      <c r="J32" s="9"/>
      <c r="K32" s="9"/>
      <c r="L32" s="9"/>
      <c r="M32" s="9"/>
      <c r="N32" s="9"/>
      <c r="O32" s="9"/>
      <c r="P32" s="9"/>
      <c r="Q32" s="9"/>
    </row>
    <row r="33" spans="1:17" ht="11.25" customHeight="1" thickBot="1" x14ac:dyDescent="0.3">
      <c r="A33" s="249" t="s">
        <v>478</v>
      </c>
      <c r="B33" s="933"/>
      <c r="C33" s="933"/>
      <c r="D33" s="933"/>
      <c r="E33" s="933"/>
      <c r="F33" s="933"/>
      <c r="G33" s="933"/>
      <c r="H33" s="933"/>
      <c r="I33" s="934"/>
      <c r="J33" s="9"/>
      <c r="K33" s="9"/>
      <c r="L33" s="9"/>
      <c r="M33" s="9"/>
      <c r="N33" s="9"/>
      <c r="O33" s="9"/>
      <c r="P33" s="9"/>
      <c r="Q33" s="9"/>
    </row>
    <row r="34" spans="1:17" ht="11.25" customHeight="1" x14ac:dyDescent="0.25">
      <c r="A34" s="14"/>
      <c r="B34" s="9"/>
      <c r="C34" s="9"/>
      <c r="D34" s="9"/>
      <c r="E34" s="9"/>
      <c r="F34" s="9"/>
      <c r="G34" s="9"/>
      <c r="H34" s="9"/>
      <c r="I34" s="9"/>
      <c r="J34" s="9"/>
      <c r="K34" s="9"/>
      <c r="L34" s="9"/>
      <c r="M34" s="9"/>
      <c r="N34" s="9"/>
      <c r="O34" s="9"/>
      <c r="P34" s="9"/>
      <c r="Q34" s="9"/>
    </row>
    <row r="35" spans="1:17" ht="11.25" customHeight="1" x14ac:dyDescent="0.25">
      <c r="A35" s="900"/>
      <c r="B35" s="9"/>
      <c r="C35" s="9"/>
      <c r="D35" s="9"/>
      <c r="E35" s="9"/>
      <c r="F35" s="9"/>
      <c r="G35" s="9"/>
      <c r="H35" s="9"/>
      <c r="I35" s="9"/>
      <c r="J35" s="9"/>
      <c r="K35" s="9"/>
      <c r="L35" s="9"/>
      <c r="M35" s="9"/>
      <c r="N35" s="9"/>
      <c r="O35" s="9"/>
      <c r="P35" s="9"/>
      <c r="Q35" s="9"/>
    </row>
    <row r="36" spans="1:17" x14ac:dyDescent="0.25">
      <c r="A36" s="14"/>
    </row>
    <row r="37" spans="1:17" x14ac:dyDescent="0.25">
      <c r="A37" s="14"/>
    </row>
    <row r="38" spans="1:17" x14ac:dyDescent="0.25">
      <c r="A38" s="14"/>
    </row>
    <row r="39" spans="1:17" x14ac:dyDescent="0.25">
      <c r="A39" s="14"/>
    </row>
    <row r="40" spans="1:17" x14ac:dyDescent="0.25">
      <c r="A40" s="14"/>
    </row>
    <row r="41" spans="1:17" x14ac:dyDescent="0.25">
      <c r="A41" s="14"/>
    </row>
    <row r="42" spans="1:17" x14ac:dyDescent="0.25">
      <c r="A42" s="14" t="s">
        <v>479</v>
      </c>
    </row>
  </sheetData>
  <sheetProtection algorithmName="SHA-512" hashValue="tbEYBATwu25E9JtNRbI3xcnSzcV+sAAtUAF3UJIm2EFJybO6He6SMO6mH5MnTt+UnaG+KxBVOcbnVy1xf7lY9g==" saltValue="k+Jo/1I46xQg8K/J20+NYQ==" spinCount="100000" sheet="1" formatColumns="0" formatRows="0"/>
  <dataConsolidate/>
  <mergeCells count="8">
    <mergeCell ref="C11:D11"/>
    <mergeCell ref="E10:I10"/>
    <mergeCell ref="E11:I18"/>
    <mergeCell ref="C2:E2"/>
    <mergeCell ref="C3:E3"/>
    <mergeCell ref="C10:D10"/>
    <mergeCell ref="C12:D12"/>
    <mergeCell ref="C13:D13"/>
  </mergeCells>
  <phoneticPr fontId="6" type="noConversion"/>
  <pageMargins left="0.19685039370078741" right="0.19685039370078741" top="0.39370078740157483" bottom="0.39370078740157483" header="0.51181102362204722" footer="0.51181102362204722"/>
  <pageSetup paperSize="9" scale="65" orientation="landscape" r:id="rId1"/>
  <headerFooter alignWithMargins="0"/>
  <ignoredErrors>
    <ignoredError sqref="C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0C90-CF8D-4AE8-BE3D-FC18B7A025BC}">
  <sheetPr>
    <tabColor rgb="FFFFFF00"/>
  </sheetPr>
  <dimension ref="A2:M52"/>
  <sheetViews>
    <sheetView workbookViewId="0">
      <selection activeCell="F13" sqref="F13"/>
    </sheetView>
  </sheetViews>
  <sheetFormatPr defaultColWidth="9.1796875" defaultRowHeight="12.5" x14ac:dyDescent="0.25"/>
  <cols>
    <col min="1" max="1" width="2.453125" style="1066" customWidth="1"/>
    <col min="2" max="2" width="50.453125" style="1066" customWidth="1"/>
    <col min="3" max="3" width="59.453125" style="1066" customWidth="1"/>
    <col min="4" max="4" width="19" style="1066" customWidth="1"/>
    <col min="5" max="10" width="16.453125" style="1066" customWidth="1"/>
    <col min="11" max="16384" width="9.1796875" style="1066"/>
  </cols>
  <sheetData>
    <row r="2" spans="1:11" s="1096" customFormat="1" ht="31.5" customHeight="1" thickBot="1" x14ac:dyDescent="0.3">
      <c r="B2" s="1097" t="s">
        <v>480</v>
      </c>
      <c r="C2" s="1098"/>
      <c r="D2" s="1098"/>
    </row>
    <row r="3" spans="1:11" s="1073" customFormat="1" ht="14" thickBot="1" x14ac:dyDescent="0.3">
      <c r="A3" s="1074"/>
      <c r="B3" s="220" t="s">
        <v>327</v>
      </c>
      <c r="C3" s="221"/>
      <c r="D3" s="221"/>
      <c r="E3" s="221"/>
      <c r="F3" s="221"/>
      <c r="G3" s="221"/>
      <c r="H3" s="221"/>
      <c r="I3" s="221"/>
      <c r="J3" s="222"/>
    </row>
    <row r="4" spans="1:11" s="1073" customFormat="1" ht="13.5" x14ac:dyDescent="0.25">
      <c r="A4" s="57"/>
      <c r="B4" s="1075" t="s">
        <v>481</v>
      </c>
      <c r="C4" s="282"/>
      <c r="D4" s="282"/>
      <c r="E4" s="282"/>
      <c r="F4" s="282"/>
      <c r="G4" s="282"/>
      <c r="H4" s="276"/>
      <c r="I4" s="276"/>
      <c r="J4" s="277"/>
    </row>
    <row r="5" spans="1:11" s="1073" customFormat="1" ht="13.5" x14ac:dyDescent="0.25">
      <c r="A5" s="57"/>
      <c r="B5" s="1071" t="s">
        <v>482</v>
      </c>
      <c r="C5" s="909"/>
      <c r="D5" s="909"/>
      <c r="E5" s="909"/>
      <c r="F5" s="909"/>
      <c r="G5" s="909"/>
      <c r="H5" s="882"/>
      <c r="I5" s="882"/>
      <c r="J5" s="279"/>
    </row>
    <row r="6" spans="1:11" s="1073" customFormat="1" ht="13.5" x14ac:dyDescent="0.25">
      <c r="A6" s="57"/>
      <c r="B6" s="1071" t="s">
        <v>483</v>
      </c>
      <c r="C6" s="909"/>
      <c r="D6" s="909"/>
      <c r="E6" s="909"/>
      <c r="F6" s="909"/>
      <c r="G6" s="909"/>
      <c r="H6" s="882"/>
      <c r="I6" s="882"/>
      <c r="J6" s="279"/>
    </row>
    <row r="7" spans="1:11" s="1073" customFormat="1" ht="13.5" x14ac:dyDescent="0.25">
      <c r="A7" s="57"/>
      <c r="B7" s="1071" t="s">
        <v>484</v>
      </c>
      <c r="C7" s="909"/>
      <c r="D7" s="909"/>
      <c r="E7" s="909"/>
      <c r="F7" s="909"/>
      <c r="G7" s="909"/>
      <c r="H7" s="882"/>
      <c r="I7" s="882"/>
      <c r="J7" s="279"/>
    </row>
    <row r="8" spans="1:11" s="1073" customFormat="1" ht="14" thickBot="1" x14ac:dyDescent="0.3">
      <c r="A8" s="57"/>
      <c r="B8" s="1072" t="s">
        <v>485</v>
      </c>
      <c r="C8" s="283"/>
      <c r="D8" s="283"/>
      <c r="E8" s="283"/>
      <c r="F8" s="283"/>
      <c r="G8" s="283"/>
      <c r="H8" s="280"/>
      <c r="I8" s="280"/>
      <c r="J8" s="281"/>
    </row>
    <row r="9" spans="1:11" ht="13" thickBot="1" x14ac:dyDescent="0.3">
      <c r="B9" s="1067"/>
      <c r="C9" s="1067"/>
      <c r="D9" s="1067"/>
    </row>
    <row r="10" spans="1:11" ht="35" thickBot="1" x14ac:dyDescent="0.3">
      <c r="B10" s="1033" t="s">
        <v>486</v>
      </c>
      <c r="C10" s="1068" t="s">
        <v>487</v>
      </c>
      <c r="D10" s="1102" t="s">
        <v>488</v>
      </c>
      <c r="E10" s="1058">
        <f>YEAR(MAX(Mijlpalenbegroting!C25:Q25))</f>
        <v>1900</v>
      </c>
      <c r="F10" s="1058">
        <f>E10+1</f>
        <v>1901</v>
      </c>
      <c r="G10" s="1058">
        <f t="shared" ref="G10:I10" si="0">F10+1</f>
        <v>1902</v>
      </c>
      <c r="H10" s="1058">
        <f t="shared" si="0"/>
        <v>1903</v>
      </c>
      <c r="I10" s="1058">
        <f t="shared" si="0"/>
        <v>1904</v>
      </c>
      <c r="J10" s="1059" t="s">
        <v>287</v>
      </c>
    </row>
    <row r="11" spans="1:11" x14ac:dyDescent="0.25">
      <c r="B11" s="1064" t="s">
        <v>489</v>
      </c>
      <c r="C11" s="1056"/>
      <c r="D11" s="1103">
        <f>Begroting!D145</f>
        <v>0</v>
      </c>
      <c r="E11" s="1056"/>
      <c r="F11" s="1056"/>
      <c r="G11" s="1056"/>
      <c r="H11" s="1056"/>
      <c r="I11" s="1056"/>
      <c r="J11" s="1065">
        <f>SUM(E11:I11)</f>
        <v>0</v>
      </c>
    </row>
    <row r="12" spans="1:11" x14ac:dyDescent="0.25">
      <c r="B12" s="1060" t="s">
        <v>490</v>
      </c>
      <c r="C12" s="1056"/>
      <c r="D12" s="1104">
        <f>IFERROR(SUMPRODUCT(Begroting!D115:D144,Begroting!H115:H144)/Begroting!D145,0)</f>
        <v>0</v>
      </c>
      <c r="E12" s="1057"/>
      <c r="F12" s="1057"/>
      <c r="G12" s="1057"/>
      <c r="H12" s="1057"/>
      <c r="I12" s="1057"/>
      <c r="J12" s="1110" t="str">
        <f>IFERROR(SUMPRODUCT(E11:I11,E12:I12)/SUM(E11:I11),"")</f>
        <v/>
      </c>
    </row>
    <row r="13" spans="1:11" ht="13" thickBot="1" x14ac:dyDescent="0.3">
      <c r="B13" s="1035" t="s">
        <v>491</v>
      </c>
      <c r="C13" s="1070"/>
      <c r="D13" s="1094"/>
      <c r="E13" s="1094">
        <f>E12*E11</f>
        <v>0</v>
      </c>
      <c r="F13" s="1094">
        <f t="shared" ref="F13:I13" si="1">F12*F11</f>
        <v>0</v>
      </c>
      <c r="G13" s="1094">
        <f t="shared" si="1"/>
        <v>0</v>
      </c>
      <c r="H13" s="1094">
        <f t="shared" si="1"/>
        <v>0</v>
      </c>
      <c r="I13" s="1094">
        <f t="shared" si="1"/>
        <v>0</v>
      </c>
      <c r="J13" s="1095">
        <f>SUM(E13:I13)</f>
        <v>0</v>
      </c>
    </row>
    <row r="14" spans="1:11" x14ac:dyDescent="0.25">
      <c r="B14" s="1060" t="s">
        <v>284</v>
      </c>
      <c r="C14" s="1056"/>
      <c r="D14" s="1103">
        <f>IFERROR(SUMPRODUCT(Begroting!F115:F144,Begroting!D115:D144)/Begroting!D145,0)</f>
        <v>0</v>
      </c>
      <c r="E14" s="1055"/>
      <c r="F14" s="1055"/>
      <c r="G14" s="1055"/>
      <c r="H14" s="1055"/>
      <c r="I14" s="1055"/>
      <c r="J14" s="1061">
        <f>SUMPRODUCT(E14:I14,E11:I11)</f>
        <v>0</v>
      </c>
      <c r="K14" s="1067"/>
    </row>
    <row r="15" spans="1:11" x14ac:dyDescent="0.25">
      <c r="B15" s="1060" t="s">
        <v>285</v>
      </c>
      <c r="C15" s="1056"/>
      <c r="D15" s="1103">
        <f>Begroting!G147</f>
        <v>0</v>
      </c>
      <c r="E15" s="1055"/>
      <c r="F15" s="1055"/>
      <c r="G15" s="1055"/>
      <c r="H15" s="1055"/>
      <c r="I15" s="1055"/>
      <c r="J15" s="1061">
        <f>SUMPRODUCT(E15:I15,E11:I11)</f>
        <v>0</v>
      </c>
      <c r="K15" s="1067"/>
    </row>
    <row r="16" spans="1:11" ht="13" thickBot="1" x14ac:dyDescent="0.3">
      <c r="B16" s="1034" t="s">
        <v>492</v>
      </c>
      <c r="C16" s="1069"/>
      <c r="D16" s="1069"/>
      <c r="E16" s="1062">
        <f>SUM(E14:E15)*E11</f>
        <v>0</v>
      </c>
      <c r="F16" s="1062">
        <f t="shared" ref="F16:I16" si="2">SUM(F14:F15)*F11</f>
        <v>0</v>
      </c>
      <c r="G16" s="1062">
        <f t="shared" si="2"/>
        <v>0</v>
      </c>
      <c r="H16" s="1062">
        <f t="shared" si="2"/>
        <v>0</v>
      </c>
      <c r="I16" s="1062">
        <f t="shared" si="2"/>
        <v>0</v>
      </c>
      <c r="J16" s="1063">
        <f>SUM(J14:J15)</f>
        <v>0</v>
      </c>
    </row>
    <row r="18" spans="2:13" ht="13" thickBot="1" x14ac:dyDescent="0.3">
      <c r="B18" s="1034" t="s">
        <v>184</v>
      </c>
      <c r="C18" s="1106"/>
      <c r="D18" s="1107"/>
      <c r="E18" s="1107"/>
      <c r="F18" s="1107"/>
      <c r="G18" s="1107"/>
      <c r="H18" s="1107"/>
      <c r="I18" s="1107"/>
      <c r="J18" s="1054">
        <f>-'ORT Berekening'!F231</f>
        <v>0</v>
      </c>
    </row>
    <row r="20" spans="2:13" ht="13" thickBot="1" x14ac:dyDescent="0.3"/>
    <row r="21" spans="2:13" ht="13.5" x14ac:dyDescent="0.25">
      <c r="B21" s="925" t="s">
        <v>343</v>
      </c>
      <c r="C21" s="926"/>
      <c r="D21" s="926"/>
      <c r="E21" s="926"/>
      <c r="F21" s="926"/>
      <c r="G21" s="926"/>
      <c r="H21" s="926"/>
      <c r="I21" s="926"/>
      <c r="J21" s="927"/>
    </row>
    <row r="22" spans="2:13" x14ac:dyDescent="0.25">
      <c r="B22" s="195"/>
      <c r="C22" s="196"/>
      <c r="D22" s="196"/>
      <c r="E22" s="196"/>
      <c r="F22" s="196"/>
      <c r="G22" s="196"/>
      <c r="H22" s="196"/>
      <c r="I22" s="196"/>
      <c r="J22" s="197"/>
    </row>
    <row r="23" spans="2:13" ht="13" x14ac:dyDescent="0.25">
      <c r="B23" s="198"/>
      <c r="C23" s="199"/>
      <c r="D23" s="199"/>
      <c r="E23" s="199"/>
      <c r="F23" s="199"/>
      <c r="G23" s="199"/>
      <c r="H23" s="199"/>
      <c r="I23" s="199"/>
      <c r="J23" s="200"/>
      <c r="M23" s="1105"/>
    </row>
    <row r="24" spans="2:13" x14ac:dyDescent="0.25">
      <c r="B24" s="198"/>
      <c r="C24" s="199"/>
      <c r="D24" s="199"/>
      <c r="E24" s="199"/>
      <c r="F24" s="199"/>
      <c r="G24" s="199"/>
      <c r="H24" s="199"/>
      <c r="I24" s="199"/>
      <c r="J24" s="200"/>
    </row>
    <row r="25" spans="2:13" x14ac:dyDescent="0.25">
      <c r="B25" s="198"/>
      <c r="C25" s="199"/>
      <c r="D25" s="199"/>
      <c r="E25" s="199"/>
      <c r="F25" s="199"/>
      <c r="G25" s="199"/>
      <c r="H25" s="199"/>
      <c r="I25" s="199"/>
      <c r="J25" s="200"/>
    </row>
    <row r="26" spans="2:13" x14ac:dyDescent="0.25">
      <c r="B26" s="198"/>
      <c r="C26" s="199"/>
      <c r="D26" s="199"/>
      <c r="E26" s="199"/>
      <c r="F26" s="199"/>
      <c r="G26" s="199"/>
      <c r="H26" s="199"/>
      <c r="I26" s="199"/>
      <c r="J26" s="200"/>
    </row>
    <row r="27" spans="2:13" x14ac:dyDescent="0.25">
      <c r="B27" s="198"/>
      <c r="C27" s="199"/>
      <c r="D27" s="199"/>
      <c r="E27" s="199"/>
      <c r="F27" s="199"/>
      <c r="G27" s="199"/>
      <c r="H27" s="199"/>
      <c r="I27" s="199"/>
      <c r="J27" s="200"/>
    </row>
    <row r="28" spans="2:13" x14ac:dyDescent="0.25">
      <c r="B28" s="198"/>
      <c r="C28" s="199"/>
      <c r="D28" s="199"/>
      <c r="E28" s="199"/>
      <c r="F28" s="199"/>
      <c r="G28" s="199"/>
      <c r="H28" s="199"/>
      <c r="I28" s="199"/>
      <c r="J28" s="200"/>
    </row>
    <row r="29" spans="2:13" x14ac:dyDescent="0.25">
      <c r="B29" s="198"/>
      <c r="C29" s="199"/>
      <c r="D29" s="199"/>
      <c r="E29" s="199"/>
      <c r="F29" s="199"/>
      <c r="G29" s="199"/>
      <c r="H29" s="199"/>
      <c r="I29" s="199"/>
      <c r="J29" s="200"/>
    </row>
    <row r="30" spans="2:13" x14ac:dyDescent="0.25">
      <c r="B30" s="198"/>
      <c r="C30" s="199"/>
      <c r="D30" s="199"/>
      <c r="E30" s="199"/>
      <c r="F30" s="199"/>
      <c r="G30" s="199"/>
      <c r="H30" s="199"/>
      <c r="I30" s="199"/>
      <c r="J30" s="200"/>
    </row>
    <row r="31" spans="2:13" x14ac:dyDescent="0.25">
      <c r="B31" s="198"/>
      <c r="C31" s="199"/>
      <c r="D31" s="199"/>
      <c r="E31" s="199"/>
      <c r="F31" s="199"/>
      <c r="G31" s="199"/>
      <c r="H31" s="199"/>
      <c r="I31" s="199"/>
      <c r="J31" s="200"/>
    </row>
    <row r="32" spans="2:13" x14ac:dyDescent="0.25">
      <c r="B32" s="198"/>
      <c r="C32" s="199"/>
      <c r="D32" s="199"/>
      <c r="E32" s="199"/>
      <c r="F32" s="199"/>
      <c r="G32" s="199"/>
      <c r="H32" s="199"/>
      <c r="I32" s="199"/>
      <c r="J32" s="200"/>
    </row>
    <row r="33" spans="2:10" x14ac:dyDescent="0.25">
      <c r="B33" s="198"/>
      <c r="C33" s="199"/>
      <c r="D33" s="199"/>
      <c r="E33" s="199"/>
      <c r="F33" s="199"/>
      <c r="G33" s="199"/>
      <c r="H33" s="199"/>
      <c r="I33" s="199"/>
      <c r="J33" s="200"/>
    </row>
    <row r="34" spans="2:10" x14ac:dyDescent="0.25">
      <c r="B34" s="198"/>
      <c r="C34" s="199"/>
      <c r="D34" s="199"/>
      <c r="E34" s="199"/>
      <c r="F34" s="199"/>
      <c r="G34" s="199"/>
      <c r="H34" s="199"/>
      <c r="I34" s="199"/>
      <c r="J34" s="200"/>
    </row>
    <row r="35" spans="2:10" x14ac:dyDescent="0.25">
      <c r="B35" s="198"/>
      <c r="C35" s="199"/>
      <c r="D35" s="199"/>
      <c r="E35" s="199"/>
      <c r="F35" s="199"/>
      <c r="G35" s="199"/>
      <c r="H35" s="199"/>
      <c r="I35" s="199"/>
      <c r="J35" s="200"/>
    </row>
    <row r="36" spans="2:10" x14ac:dyDescent="0.25">
      <c r="B36" s="198"/>
      <c r="C36" s="199"/>
      <c r="D36" s="199"/>
      <c r="E36" s="199"/>
      <c r="F36" s="199"/>
      <c r="G36" s="199"/>
      <c r="H36" s="199"/>
      <c r="I36" s="199"/>
      <c r="J36" s="200"/>
    </row>
    <row r="37" spans="2:10" x14ac:dyDescent="0.25">
      <c r="B37" s="198"/>
      <c r="C37" s="199"/>
      <c r="D37" s="199"/>
      <c r="E37" s="199"/>
      <c r="F37" s="199"/>
      <c r="G37" s="199"/>
      <c r="H37" s="199"/>
      <c r="I37" s="199"/>
      <c r="J37" s="200"/>
    </row>
    <row r="38" spans="2:10" x14ac:dyDescent="0.25">
      <c r="B38" s="198"/>
      <c r="C38" s="199"/>
      <c r="D38" s="199"/>
      <c r="E38" s="199"/>
      <c r="F38" s="199"/>
      <c r="G38" s="199"/>
      <c r="H38" s="199"/>
      <c r="I38" s="199"/>
      <c r="J38" s="200"/>
    </row>
    <row r="39" spans="2:10" x14ac:dyDescent="0.25">
      <c r="B39" s="198"/>
      <c r="C39" s="199"/>
      <c r="D39" s="199"/>
      <c r="E39" s="199"/>
      <c r="F39" s="199"/>
      <c r="G39" s="199"/>
      <c r="H39" s="199"/>
      <c r="I39" s="199"/>
      <c r="J39" s="200"/>
    </row>
    <row r="40" spans="2:10" x14ac:dyDescent="0.25">
      <c r="B40" s="198"/>
      <c r="C40" s="199"/>
      <c r="D40" s="199"/>
      <c r="E40" s="199"/>
      <c r="F40" s="199"/>
      <c r="G40" s="199"/>
      <c r="H40" s="199"/>
      <c r="I40" s="199"/>
      <c r="J40" s="200"/>
    </row>
    <row r="41" spans="2:10" x14ac:dyDescent="0.25">
      <c r="B41" s="198"/>
      <c r="C41" s="199"/>
      <c r="D41" s="199"/>
      <c r="E41" s="199"/>
      <c r="F41" s="199"/>
      <c r="G41" s="199"/>
      <c r="H41" s="199"/>
      <c r="I41" s="199"/>
      <c r="J41" s="200"/>
    </row>
    <row r="42" spans="2:10" x14ac:dyDescent="0.25">
      <c r="B42" s="198"/>
      <c r="C42" s="199"/>
      <c r="D42" s="199"/>
      <c r="E42" s="199"/>
      <c r="F42" s="199"/>
      <c r="G42" s="199"/>
      <c r="H42" s="199"/>
      <c r="I42" s="199"/>
      <c r="J42" s="200"/>
    </row>
    <row r="43" spans="2:10" x14ac:dyDescent="0.25">
      <c r="B43" s="198"/>
      <c r="C43" s="199"/>
      <c r="D43" s="199"/>
      <c r="E43" s="199"/>
      <c r="F43" s="199"/>
      <c r="G43" s="199"/>
      <c r="H43" s="199"/>
      <c r="I43" s="199"/>
      <c r="J43" s="200"/>
    </row>
    <row r="44" spans="2:10" x14ac:dyDescent="0.25">
      <c r="B44" s="198"/>
      <c r="C44" s="199"/>
      <c r="D44" s="199"/>
      <c r="E44" s="199"/>
      <c r="F44" s="199"/>
      <c r="G44" s="199"/>
      <c r="H44" s="199"/>
      <c r="I44" s="199"/>
      <c r="J44" s="200"/>
    </row>
    <row r="45" spans="2:10" x14ac:dyDescent="0.25">
      <c r="B45" s="198"/>
      <c r="C45" s="199"/>
      <c r="D45" s="199"/>
      <c r="E45" s="199"/>
      <c r="F45" s="199"/>
      <c r="G45" s="199"/>
      <c r="H45" s="199"/>
      <c r="I45" s="199"/>
      <c r="J45" s="200"/>
    </row>
    <row r="46" spans="2:10" x14ac:dyDescent="0.25">
      <c r="B46" s="198"/>
      <c r="C46" s="199"/>
      <c r="D46" s="199"/>
      <c r="E46" s="199"/>
      <c r="F46" s="199"/>
      <c r="G46" s="199"/>
      <c r="H46" s="199"/>
      <c r="I46" s="199"/>
      <c r="J46" s="200"/>
    </row>
    <row r="47" spans="2:10" x14ac:dyDescent="0.25">
      <c r="B47" s="198"/>
      <c r="C47" s="199"/>
      <c r="D47" s="199"/>
      <c r="E47" s="199"/>
      <c r="F47" s="199"/>
      <c r="G47" s="199"/>
      <c r="H47" s="199"/>
      <c r="I47" s="199"/>
      <c r="J47" s="200"/>
    </row>
    <row r="48" spans="2:10" x14ac:dyDescent="0.25">
      <c r="B48" s="198"/>
      <c r="C48" s="199"/>
      <c r="D48" s="199"/>
      <c r="E48" s="199"/>
      <c r="F48" s="199"/>
      <c r="G48" s="199"/>
      <c r="H48" s="199"/>
      <c r="I48" s="199"/>
      <c r="J48" s="200"/>
    </row>
    <row r="49" spans="2:10" x14ac:dyDescent="0.25">
      <c r="B49" s="198"/>
      <c r="C49" s="199"/>
      <c r="D49" s="199"/>
      <c r="E49" s="199"/>
      <c r="F49" s="199"/>
      <c r="G49" s="199"/>
      <c r="H49" s="199"/>
      <c r="I49" s="199"/>
      <c r="J49" s="200"/>
    </row>
    <row r="50" spans="2:10" x14ac:dyDescent="0.25">
      <c r="B50" s="198"/>
      <c r="C50" s="199"/>
      <c r="D50" s="199"/>
      <c r="E50" s="199"/>
      <c r="F50" s="199"/>
      <c r="G50" s="199"/>
      <c r="H50" s="199"/>
      <c r="I50" s="199"/>
      <c r="J50" s="200"/>
    </row>
    <row r="51" spans="2:10" x14ac:dyDescent="0.25">
      <c r="B51" s="198"/>
      <c r="C51" s="199"/>
      <c r="D51" s="199"/>
      <c r="E51" s="199"/>
      <c r="F51" s="199"/>
      <c r="G51" s="199"/>
      <c r="H51" s="199"/>
      <c r="I51" s="199"/>
      <c r="J51" s="200"/>
    </row>
    <row r="52" spans="2:10" ht="13" thickBot="1" x14ac:dyDescent="0.3">
      <c r="B52" s="201"/>
      <c r="C52" s="202"/>
      <c r="D52" s="202"/>
      <c r="E52" s="202"/>
      <c r="F52" s="202"/>
      <c r="G52" s="202"/>
      <c r="H52" s="202"/>
      <c r="I52" s="202"/>
      <c r="J52" s="203"/>
    </row>
  </sheetData>
  <sheetProtection algorithmName="SHA-512" hashValue="bZUVw9qkA0DTjU2V0xs+3As0d3CDWbBxEYtFxRSPNI5q6nGa3VGYW+oMeSsGd0E0yZUNJQ+3m3xtMN1X6S10Iw==" saltValue="bgs+wOCYQ8lBn/nJY6+ArQ==" spinCount="100000" sheet="1" objects="1" scenarios="1" formatColumns="0" formatRows="0"/>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2BAB-00D2-488A-A508-88CCEDE0A555}">
  <sheetPr codeName="Sheet6">
    <tabColor rgb="FF00B0F0"/>
  </sheetPr>
  <dimension ref="A1:BK184"/>
  <sheetViews>
    <sheetView showGridLines="0" zoomScaleNormal="100" workbookViewId="0">
      <selection activeCell="E28" sqref="E28"/>
    </sheetView>
  </sheetViews>
  <sheetFormatPr defaultColWidth="0" defaultRowHeight="14.5" zeroHeight="1" x14ac:dyDescent="0.25"/>
  <cols>
    <col min="1" max="4" width="1.453125" style="166" customWidth="1"/>
    <col min="5" max="5" width="56" style="166" customWidth="1"/>
    <col min="6" max="6" width="17.26953125" style="166" customWidth="1"/>
    <col min="7" max="7" width="21" style="166" customWidth="1"/>
    <col min="8" max="11" width="14.453125" style="166" customWidth="1"/>
    <col min="12" max="13" width="12.453125" style="166" customWidth="1"/>
    <col min="14" max="14" width="13.7265625" style="166" customWidth="1"/>
    <col min="15" max="15" width="17.26953125" style="166" customWidth="1"/>
    <col min="16" max="26" width="12.453125" style="166" customWidth="1"/>
    <col min="27" max="44" width="12.453125" customWidth="1"/>
    <col min="45" max="63" width="8.453125" customWidth="1"/>
    <col min="64" max="16384" width="0" style="166" hidden="1"/>
  </cols>
  <sheetData>
    <row r="1" spans="1:63" x14ac:dyDescent="0.25"/>
    <row r="2" spans="1:63" ht="23.9" customHeight="1" x14ac:dyDescent="0.25">
      <c r="A2" s="167" t="s">
        <v>493</v>
      </c>
      <c r="B2" s="167"/>
      <c r="K2" s="167"/>
    </row>
    <row r="3" spans="1:63" x14ac:dyDescent="0.25">
      <c r="B3" s="259"/>
    </row>
    <row r="4" spans="1:63" s="254" customFormat="1" x14ac:dyDescent="0.25">
      <c r="AA4"/>
      <c r="AB4"/>
      <c r="AC4"/>
      <c r="AD4"/>
      <c r="AE4"/>
      <c r="AF4"/>
      <c r="AG4"/>
      <c r="AH4"/>
      <c r="AI4"/>
      <c r="AJ4"/>
      <c r="AK4"/>
      <c r="AL4"/>
      <c r="AM4"/>
      <c r="AN4"/>
      <c r="AO4"/>
      <c r="AP4"/>
      <c r="AQ4"/>
      <c r="AR4"/>
      <c r="AS4"/>
      <c r="AT4"/>
      <c r="AU4"/>
      <c r="AV4"/>
      <c r="AW4"/>
      <c r="AX4"/>
      <c r="AY4"/>
      <c r="AZ4"/>
      <c r="BA4"/>
      <c r="BB4"/>
      <c r="BC4"/>
      <c r="BD4"/>
      <c r="BE4"/>
      <c r="BF4"/>
      <c r="BG4"/>
      <c r="BH4"/>
      <c r="BI4"/>
      <c r="BJ4"/>
      <c r="BK4"/>
    </row>
    <row r="5" spans="1:63" x14ac:dyDescent="0.25">
      <c r="F5" s="254"/>
      <c r="G5" s="254"/>
    </row>
    <row r="6" spans="1:63" x14ac:dyDescent="0.25">
      <c r="F6" s="260"/>
      <c r="G6" s="260"/>
    </row>
    <row r="7" spans="1:63" x14ac:dyDescent="0.25">
      <c r="F7" s="260"/>
    </row>
    <row r="8" spans="1:63" x14ac:dyDescent="0.25">
      <c r="F8" s="260"/>
      <c r="H8" s="173"/>
    </row>
    <row r="9" spans="1:63" x14ac:dyDescent="0.25">
      <c r="E9" s="261"/>
      <c r="F9" s="262"/>
      <c r="G9" s="260"/>
      <c r="H9" s="173"/>
    </row>
    <row r="10" spans="1:63" x14ac:dyDescent="0.25">
      <c r="E10" s="261"/>
      <c r="F10" s="260"/>
      <c r="H10" s="173"/>
    </row>
    <row r="11" spans="1:63" x14ac:dyDescent="0.25"/>
    <row r="12" spans="1:63" x14ac:dyDescent="0.25"/>
    <row r="13" spans="1:63" x14ac:dyDescent="0.25">
      <c r="E13" s="261"/>
      <c r="F13" s="263"/>
      <c r="G13" s="260"/>
    </row>
    <row r="14" spans="1:63" x14ac:dyDescent="0.25"/>
    <row r="15" spans="1:63" x14ac:dyDescent="0.25">
      <c r="E15" s="254"/>
      <c r="G15" s="264"/>
    </row>
    <row r="16" spans="1:63" x14ac:dyDescent="0.25">
      <c r="E16" s="261"/>
      <c r="F16" s="261"/>
      <c r="G16" s="265"/>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3" x14ac:dyDescent="0.25"/>
    <row r="64"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24" x14ac:dyDescent="0.25"/>
    <row r="129" x14ac:dyDescent="0.25"/>
    <row r="132" x14ac:dyDescent="0.25"/>
    <row r="135" x14ac:dyDescent="0.25"/>
    <row r="145" x14ac:dyDescent="0.25"/>
    <row r="151" x14ac:dyDescent="0.25"/>
    <row r="171" x14ac:dyDescent="0.25"/>
    <row r="174" x14ac:dyDescent="0.25"/>
    <row r="177" x14ac:dyDescent="0.25"/>
    <row r="178" x14ac:dyDescent="0.25"/>
    <row r="179" x14ac:dyDescent="0.25"/>
    <row r="180" x14ac:dyDescent="0.25"/>
    <row r="181" x14ac:dyDescent="0.25"/>
    <row r="184" x14ac:dyDescent="0.25"/>
  </sheetData>
  <sheetProtection algorithmName="SHA-512" hashValue="GqyLQLn8d01QqXXxyEqLEn5Zd12XRVoShDdZ2m420E5fVO5k3GriKeplFnfj7Aq/wicoG1p/dXWWz2+Bj9NaZg==" saltValue="uJCwSNxhQGbIa6ZNq9x5nw==" spinCount="100000" sheet="1" objects="1" scenarios="1" formatColumns="0" formatRows="0"/>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6C9A-1588-4A5A-B0C6-363DEF8F5363}">
  <sheetPr codeName="Sheet9">
    <tabColor rgb="FF00B0F0"/>
  </sheetPr>
  <dimension ref="A1:CO774"/>
  <sheetViews>
    <sheetView showGridLines="0" zoomScaleNormal="100" zoomScaleSheetLayoutView="70" workbookViewId="0">
      <selection activeCell="B1" sqref="B1"/>
    </sheetView>
  </sheetViews>
  <sheetFormatPr defaultColWidth="0" defaultRowHeight="13.5" zeroHeight="1" outlineLevelRow="1" x14ac:dyDescent="0.25"/>
  <cols>
    <col min="1" max="1" width="1.453125" style="299" customWidth="1"/>
    <col min="2" max="2" width="2.81640625" style="287" customWidth="1"/>
    <col min="3" max="4" width="12.453125" style="287" customWidth="1"/>
    <col min="5" max="5" width="37.26953125" style="287" bestFit="1" customWidth="1"/>
    <col min="6" max="8" width="12.1796875" style="287" hidden="1" customWidth="1"/>
    <col min="9" max="10" width="9.453125" style="287" customWidth="1"/>
    <col min="11" max="13" width="9.453125" style="307" customWidth="1"/>
    <col min="14" max="15" width="9.453125" style="303" customWidth="1"/>
    <col min="16" max="16" width="9.453125" style="287" customWidth="1"/>
    <col min="17" max="17" width="3" style="287" customWidth="1"/>
    <col min="18" max="18" width="14" style="287" customWidth="1"/>
    <col min="19" max="19" width="3" style="297" customWidth="1"/>
    <col min="20" max="20" width="3" style="287" customWidth="1"/>
    <col min="21" max="51" width="10.453125" style="287" customWidth="1"/>
    <col min="52" max="93" width="0" style="287" hidden="1" customWidth="1"/>
    <col min="94" max="16384" width="8.453125" style="287" hidden="1"/>
  </cols>
  <sheetData>
    <row r="1" spans="1:51" ht="12" customHeight="1" x14ac:dyDescent="0.25">
      <c r="A1" s="284"/>
      <c r="B1" s="285"/>
      <c r="C1" s="285"/>
      <c r="D1" s="285"/>
      <c r="E1" s="285"/>
      <c r="F1" s="285"/>
      <c r="G1" s="285"/>
      <c r="H1" s="285"/>
      <c r="I1" s="285"/>
      <c r="J1" s="285"/>
      <c r="K1" s="304"/>
      <c r="L1" s="304"/>
      <c r="M1" s="304"/>
      <c r="N1" s="285"/>
      <c r="O1" s="285"/>
      <c r="P1" s="285"/>
      <c r="Q1" s="285"/>
      <c r="R1" s="285"/>
      <c r="S1" s="286"/>
    </row>
    <row r="2" spans="1:51" s="292" customFormat="1" ht="23.9" customHeight="1" x14ac:dyDescent="0.25">
      <c r="A2" s="288" t="s">
        <v>494</v>
      </c>
      <c r="B2" s="289"/>
      <c r="C2" s="290"/>
      <c r="D2" s="290"/>
      <c r="E2" s="290"/>
      <c r="F2" s="290"/>
      <c r="G2" s="290"/>
      <c r="H2" s="290"/>
      <c r="I2" s="290"/>
      <c r="J2" s="290"/>
      <c r="K2" s="305"/>
      <c r="L2" s="305"/>
      <c r="M2" s="305"/>
      <c r="N2" s="290"/>
      <c r="O2" s="290"/>
      <c r="P2" s="290"/>
      <c r="Q2" s="290"/>
      <c r="R2" s="290"/>
      <c r="S2" s="291"/>
    </row>
    <row r="3" spans="1:51" ht="12" customHeight="1" thickBot="1" x14ac:dyDescent="0.3">
      <c r="A3" s="293"/>
      <c r="B3" s="294"/>
      <c r="C3" s="295"/>
      <c r="D3" s="295"/>
      <c r="E3" s="295"/>
      <c r="F3" s="295"/>
      <c r="G3" s="295"/>
      <c r="H3" s="295"/>
      <c r="I3" s="295"/>
      <c r="J3" s="295"/>
      <c r="K3" s="306"/>
      <c r="L3" s="306"/>
      <c r="M3" s="306"/>
      <c r="N3" s="295"/>
      <c r="O3" s="295"/>
      <c r="P3" s="295"/>
      <c r="Q3" s="295"/>
      <c r="R3" s="295"/>
    </row>
    <row r="4" spans="1:51" ht="12" customHeight="1" thickBot="1" x14ac:dyDescent="0.3">
      <c r="A4" s="220" t="s">
        <v>327</v>
      </c>
      <c r="B4" s="255"/>
      <c r="C4" s="221"/>
      <c r="D4" s="221"/>
      <c r="E4" s="221"/>
      <c r="F4" s="221"/>
      <c r="G4" s="221"/>
      <c r="H4" s="221"/>
      <c r="I4" s="221"/>
      <c r="J4" s="221"/>
      <c r="K4" s="221"/>
      <c r="L4" s="221"/>
      <c r="M4" s="222"/>
      <c r="N4" s="253"/>
      <c r="O4" s="295"/>
      <c r="P4" s="295"/>
      <c r="Q4" s="295"/>
      <c r="R4" s="295"/>
    </row>
    <row r="5" spans="1:51" ht="12" customHeight="1" x14ac:dyDescent="0.25">
      <c r="A5" s="229" t="s">
        <v>495</v>
      </c>
      <c r="B5" s="256"/>
      <c r="C5" s="230"/>
      <c r="D5" s="230"/>
      <c r="E5" s="230"/>
      <c r="F5" s="230"/>
      <c r="G5" s="230"/>
      <c r="H5" s="230"/>
      <c r="I5" s="230"/>
      <c r="J5" s="231"/>
      <c r="K5" s="256"/>
      <c r="L5" s="230"/>
      <c r="M5" s="231"/>
      <c r="N5" s="178"/>
      <c r="O5" s="295"/>
      <c r="P5" s="295"/>
      <c r="Q5" s="295"/>
      <c r="R5" s="295"/>
    </row>
    <row r="6" spans="1:51" ht="12" customHeight="1" x14ac:dyDescent="0.25">
      <c r="A6" s="232" t="s">
        <v>496</v>
      </c>
      <c r="B6" s="257"/>
      <c r="C6" s="851"/>
      <c r="D6" s="851"/>
      <c r="E6" s="851"/>
      <c r="F6" s="851"/>
      <c r="G6" s="851"/>
      <c r="H6" s="851"/>
      <c r="I6" s="851"/>
      <c r="J6" s="233"/>
      <c r="K6" s="257"/>
      <c r="L6" s="851"/>
      <c r="M6" s="233"/>
      <c r="N6" s="178"/>
      <c r="O6" s="295"/>
      <c r="P6" s="295"/>
      <c r="Q6" s="295"/>
      <c r="R6" s="295"/>
    </row>
    <row r="7" spans="1:51" ht="12" customHeight="1" thickBot="1" x14ac:dyDescent="0.3">
      <c r="A7" s="249" t="s">
        <v>497</v>
      </c>
      <c r="B7" s="258"/>
      <c r="C7" s="234"/>
      <c r="D7" s="234"/>
      <c r="E7" s="234"/>
      <c r="F7" s="234"/>
      <c r="G7" s="234"/>
      <c r="H7" s="234"/>
      <c r="I7" s="234"/>
      <c r="J7" s="251"/>
      <c r="K7" s="258"/>
      <c r="L7" s="234"/>
      <c r="M7" s="251"/>
      <c r="N7" s="178"/>
      <c r="O7" s="295"/>
      <c r="P7" s="295"/>
      <c r="Q7" s="295"/>
      <c r="R7" s="295"/>
    </row>
    <row r="8" spans="1:51" s="407" customFormat="1" ht="12" customHeight="1" x14ac:dyDescent="0.25">
      <c r="A8" s="402"/>
      <c r="B8" s="403"/>
      <c r="C8" s="404"/>
      <c r="D8" s="404"/>
      <c r="E8" s="404"/>
      <c r="F8" s="404"/>
      <c r="G8" s="404"/>
      <c r="H8" s="404"/>
      <c r="I8" s="404"/>
      <c r="J8" s="404"/>
      <c r="K8" s="405"/>
      <c r="L8" s="405"/>
      <c r="M8" s="405"/>
      <c r="N8" s="404"/>
      <c r="O8" s="404"/>
      <c r="P8" s="404"/>
      <c r="Q8" s="404"/>
      <c r="R8" s="404"/>
      <c r="S8" s="406"/>
    </row>
    <row r="9" spans="1:51" s="411" customFormat="1" ht="15" customHeight="1" x14ac:dyDescent="0.25">
      <c r="A9" s="408" t="s">
        <v>498</v>
      </c>
      <c r="B9" s="408"/>
      <c r="C9" s="408"/>
      <c r="D9" s="408"/>
      <c r="E9" s="408"/>
      <c r="F9" s="408"/>
      <c r="G9" s="408"/>
      <c r="H9" s="408"/>
      <c r="I9" s="408"/>
      <c r="J9" s="408"/>
      <c r="K9" s="409"/>
      <c r="L9" s="409"/>
      <c r="M9" s="409"/>
      <c r="N9" s="408"/>
      <c r="O9" s="408"/>
      <c r="P9" s="408"/>
      <c r="Q9" s="408"/>
      <c r="R9" s="408"/>
      <c r="S9" s="410"/>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row>
    <row r="10" spans="1:51" s="407" customFormat="1" ht="15" customHeight="1" x14ac:dyDescent="0.25">
      <c r="A10" s="402"/>
      <c r="B10" s="404"/>
      <c r="C10" s="404"/>
      <c r="D10" s="404"/>
      <c r="E10" s="404"/>
      <c r="F10" s="404"/>
      <c r="G10" s="404"/>
      <c r="H10" s="404"/>
      <c r="I10" s="404"/>
      <c r="J10" s="404"/>
      <c r="K10" s="405"/>
      <c r="L10" s="405"/>
      <c r="M10" s="405"/>
      <c r="N10" s="404"/>
      <c r="O10" s="404"/>
      <c r="P10" s="404"/>
      <c r="Q10" s="404"/>
      <c r="R10" s="404"/>
      <c r="S10" s="406"/>
    </row>
    <row r="11" spans="1:51" s="418" customFormat="1" ht="15" customHeight="1" x14ac:dyDescent="0.25">
      <c r="A11" s="412"/>
      <c r="C11" s="413" t="s">
        <v>499</v>
      </c>
      <c r="D11" s="414"/>
      <c r="E11" s="414"/>
      <c r="F11" s="414"/>
      <c r="G11" s="414"/>
      <c r="H11" s="414"/>
      <c r="I11" s="413" t="s">
        <v>407</v>
      </c>
      <c r="J11" s="413" t="s">
        <v>408</v>
      </c>
      <c r="K11" s="415"/>
      <c r="L11" s="415"/>
      <c r="M11" s="415"/>
      <c r="N11" s="416"/>
      <c r="O11" s="416"/>
      <c r="P11" s="416"/>
      <c r="Q11" s="414"/>
      <c r="R11" s="414"/>
      <c r="S11" s="417"/>
      <c r="U11" s="419">
        <f>$I$13</f>
        <v>1900</v>
      </c>
      <c r="V11" s="419">
        <f t="shared" ref="V11:AY11" si="0" xml:space="preserve"> U11 + 1</f>
        <v>1901</v>
      </c>
      <c r="W11" s="419">
        <f t="shared" si="0"/>
        <v>1902</v>
      </c>
      <c r="X11" s="419">
        <f t="shared" si="0"/>
        <v>1903</v>
      </c>
      <c r="Y11" s="419">
        <f t="shared" si="0"/>
        <v>1904</v>
      </c>
      <c r="Z11" s="419">
        <f t="shared" si="0"/>
        <v>1905</v>
      </c>
      <c r="AA11" s="419">
        <f t="shared" si="0"/>
        <v>1906</v>
      </c>
      <c r="AB11" s="419">
        <f t="shared" si="0"/>
        <v>1907</v>
      </c>
      <c r="AC11" s="419">
        <f t="shared" si="0"/>
        <v>1908</v>
      </c>
      <c r="AD11" s="419">
        <f t="shared" si="0"/>
        <v>1909</v>
      </c>
      <c r="AE11" s="419">
        <f t="shared" si="0"/>
        <v>1910</v>
      </c>
      <c r="AF11" s="419">
        <f t="shared" si="0"/>
        <v>1911</v>
      </c>
      <c r="AG11" s="419">
        <f t="shared" si="0"/>
        <v>1912</v>
      </c>
      <c r="AH11" s="419">
        <f t="shared" si="0"/>
        <v>1913</v>
      </c>
      <c r="AI11" s="419">
        <f t="shared" si="0"/>
        <v>1914</v>
      </c>
      <c r="AJ11" s="419">
        <f t="shared" si="0"/>
        <v>1915</v>
      </c>
      <c r="AK11" s="419">
        <f t="shared" si="0"/>
        <v>1916</v>
      </c>
      <c r="AL11" s="419">
        <f t="shared" si="0"/>
        <v>1917</v>
      </c>
      <c r="AM11" s="419">
        <f t="shared" si="0"/>
        <v>1918</v>
      </c>
      <c r="AN11" s="419">
        <f t="shared" si="0"/>
        <v>1919</v>
      </c>
      <c r="AO11" s="419">
        <f t="shared" si="0"/>
        <v>1920</v>
      </c>
      <c r="AP11" s="419">
        <f t="shared" si="0"/>
        <v>1921</v>
      </c>
      <c r="AQ11" s="419">
        <f t="shared" si="0"/>
        <v>1922</v>
      </c>
      <c r="AR11" s="419">
        <f t="shared" si="0"/>
        <v>1923</v>
      </c>
      <c r="AS11" s="419">
        <f t="shared" si="0"/>
        <v>1924</v>
      </c>
      <c r="AT11" s="419">
        <f t="shared" si="0"/>
        <v>1925</v>
      </c>
      <c r="AU11" s="419">
        <f t="shared" si="0"/>
        <v>1926</v>
      </c>
      <c r="AV11" s="419">
        <f t="shared" si="0"/>
        <v>1927</v>
      </c>
      <c r="AW11" s="419">
        <f t="shared" si="0"/>
        <v>1928</v>
      </c>
      <c r="AX11" s="419">
        <f t="shared" si="0"/>
        <v>1929</v>
      </c>
      <c r="AY11" s="419">
        <f t="shared" si="0"/>
        <v>1930</v>
      </c>
    </row>
    <row r="12" spans="1:51" s="418" customFormat="1" ht="15" customHeight="1" x14ac:dyDescent="0.25">
      <c r="A12" s="412"/>
      <c r="C12" s="421" t="s">
        <v>499</v>
      </c>
      <c r="K12" s="422"/>
      <c r="L12" s="422"/>
      <c r="M12" s="422"/>
      <c r="N12" s="423"/>
      <c r="O12" s="423"/>
      <c r="Q12" s="420"/>
      <c r="S12" s="417"/>
    </row>
    <row r="13" spans="1:51" s="418" customFormat="1" ht="15" customHeight="1" x14ac:dyDescent="0.25">
      <c r="A13" s="412"/>
      <c r="C13" s="421"/>
      <c r="E13" s="418" t="s">
        <v>500</v>
      </c>
      <c r="I13" s="424">
        <f>YEAR(Startdatum)</f>
        <v>1900</v>
      </c>
      <c r="J13" s="418" t="s">
        <v>501</v>
      </c>
      <c r="K13" s="422"/>
      <c r="L13" s="422"/>
      <c r="M13" s="422"/>
      <c r="N13" s="423"/>
      <c r="O13" s="423"/>
      <c r="Q13" s="420"/>
      <c r="S13" s="417"/>
    </row>
    <row r="14" spans="1:51" s="418" customFormat="1" ht="15" customHeight="1" x14ac:dyDescent="0.25">
      <c r="A14" s="412"/>
      <c r="E14" s="418" t="s">
        <v>502</v>
      </c>
      <c r="I14" s="425">
        <f>Looptijd</f>
        <v>30</v>
      </c>
      <c r="J14" s="418" t="s">
        <v>503</v>
      </c>
      <c r="K14" s="418">
        <v>30</v>
      </c>
      <c r="L14" s="422"/>
      <c r="M14" s="422"/>
      <c r="N14" s="423"/>
      <c r="O14" s="423"/>
      <c r="Q14" s="420"/>
      <c r="S14" s="417"/>
      <c r="U14" s="426">
        <f t="shared" ref="U14:AY14" si="1">(U$11&gt;$I$13)*(U$11&lt;=$I$13+$I$14)*1</f>
        <v>0</v>
      </c>
      <c r="V14" s="426">
        <f t="shared" si="1"/>
        <v>1</v>
      </c>
      <c r="W14" s="426">
        <f t="shared" si="1"/>
        <v>1</v>
      </c>
      <c r="X14" s="426">
        <f t="shared" si="1"/>
        <v>1</v>
      </c>
      <c r="Y14" s="426">
        <f t="shared" si="1"/>
        <v>1</v>
      </c>
      <c r="Z14" s="426">
        <f t="shared" si="1"/>
        <v>1</v>
      </c>
      <c r="AA14" s="426">
        <f t="shared" si="1"/>
        <v>1</v>
      </c>
      <c r="AB14" s="426">
        <f t="shared" si="1"/>
        <v>1</v>
      </c>
      <c r="AC14" s="426">
        <f t="shared" si="1"/>
        <v>1</v>
      </c>
      <c r="AD14" s="426">
        <f t="shared" si="1"/>
        <v>1</v>
      </c>
      <c r="AE14" s="426">
        <f t="shared" si="1"/>
        <v>1</v>
      </c>
      <c r="AF14" s="426">
        <f t="shared" si="1"/>
        <v>1</v>
      </c>
      <c r="AG14" s="426">
        <f t="shared" si="1"/>
        <v>1</v>
      </c>
      <c r="AH14" s="426">
        <f t="shared" si="1"/>
        <v>1</v>
      </c>
      <c r="AI14" s="426">
        <f t="shared" si="1"/>
        <v>1</v>
      </c>
      <c r="AJ14" s="426">
        <f t="shared" si="1"/>
        <v>1</v>
      </c>
      <c r="AK14" s="426">
        <f t="shared" si="1"/>
        <v>1</v>
      </c>
      <c r="AL14" s="426">
        <f t="shared" si="1"/>
        <v>1</v>
      </c>
      <c r="AM14" s="426">
        <f t="shared" si="1"/>
        <v>1</v>
      </c>
      <c r="AN14" s="426">
        <f t="shared" si="1"/>
        <v>1</v>
      </c>
      <c r="AO14" s="426">
        <f t="shared" si="1"/>
        <v>1</v>
      </c>
      <c r="AP14" s="426">
        <f t="shared" si="1"/>
        <v>1</v>
      </c>
      <c r="AQ14" s="426">
        <f t="shared" si="1"/>
        <v>1</v>
      </c>
      <c r="AR14" s="426">
        <f t="shared" si="1"/>
        <v>1</v>
      </c>
      <c r="AS14" s="426">
        <f t="shared" si="1"/>
        <v>1</v>
      </c>
      <c r="AT14" s="426">
        <f t="shared" si="1"/>
        <v>1</v>
      </c>
      <c r="AU14" s="426">
        <f t="shared" si="1"/>
        <v>1</v>
      </c>
      <c r="AV14" s="426">
        <f t="shared" si="1"/>
        <v>1</v>
      </c>
      <c r="AW14" s="426">
        <f t="shared" si="1"/>
        <v>1</v>
      </c>
      <c r="AX14" s="426">
        <f t="shared" si="1"/>
        <v>1</v>
      </c>
      <c r="AY14" s="426">
        <f t="shared" si="1"/>
        <v>1</v>
      </c>
    </row>
    <row r="15" spans="1:51" s="407" customFormat="1" ht="15" customHeight="1" x14ac:dyDescent="0.25">
      <c r="A15" s="427"/>
      <c r="Q15" s="404"/>
      <c r="S15" s="406"/>
    </row>
    <row r="16" spans="1:51" s="411" customFormat="1" ht="15" customHeight="1" x14ac:dyDescent="0.25">
      <c r="A16" s="408" t="s">
        <v>504</v>
      </c>
      <c r="B16" s="408"/>
      <c r="C16" s="408"/>
      <c r="D16" s="408"/>
      <c r="E16" s="408"/>
      <c r="F16" s="408"/>
      <c r="G16" s="408"/>
      <c r="H16" s="408"/>
      <c r="I16" s="408"/>
      <c r="J16" s="408"/>
      <c r="K16" s="409"/>
      <c r="L16" s="409"/>
      <c r="M16" s="409"/>
      <c r="N16" s="408"/>
      <c r="O16" s="408"/>
      <c r="P16" s="408"/>
      <c r="Q16" s="408"/>
      <c r="R16" s="408"/>
      <c r="S16" s="410"/>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8"/>
      <c r="AY16" s="408"/>
    </row>
    <row r="17" spans="1:51" s="407" customFormat="1" ht="15" customHeight="1" x14ac:dyDescent="0.25">
      <c r="A17" s="404"/>
      <c r="B17" s="404"/>
      <c r="C17" s="404"/>
      <c r="D17" s="404"/>
      <c r="E17" s="404"/>
      <c r="F17" s="404"/>
      <c r="G17" s="404"/>
      <c r="H17" s="404"/>
      <c r="I17" s="404"/>
      <c r="J17" s="404"/>
      <c r="K17" s="404"/>
      <c r="L17" s="404"/>
      <c r="M17" s="404"/>
      <c r="N17" s="404"/>
      <c r="O17" s="404"/>
      <c r="P17" s="404"/>
      <c r="Q17" s="404"/>
      <c r="R17" s="404"/>
      <c r="S17" s="406"/>
    </row>
    <row r="18" spans="1:51" s="418" customFormat="1" ht="15" customHeight="1" x14ac:dyDescent="0.25">
      <c r="A18" s="428"/>
      <c r="C18" s="429" t="s">
        <v>244</v>
      </c>
      <c r="D18" s="429" t="s">
        <v>505</v>
      </c>
      <c r="E18" s="429" t="s">
        <v>506</v>
      </c>
      <c r="F18" s="429" t="s">
        <v>507</v>
      </c>
      <c r="G18" s="429" t="s">
        <v>508</v>
      </c>
      <c r="H18" s="429" t="s">
        <v>509</v>
      </c>
      <c r="I18" s="430">
        <f>$I$13</f>
        <v>1900</v>
      </c>
      <c r="J18" s="430">
        <f t="shared" ref="J18:P18" si="2">I18+1</f>
        <v>1901</v>
      </c>
      <c r="K18" s="430">
        <f t="shared" si="2"/>
        <v>1902</v>
      </c>
      <c r="L18" s="430">
        <f t="shared" si="2"/>
        <v>1903</v>
      </c>
      <c r="M18" s="430">
        <f t="shared" si="2"/>
        <v>1904</v>
      </c>
      <c r="N18" s="430">
        <f t="shared" si="2"/>
        <v>1905</v>
      </c>
      <c r="O18" s="430">
        <f t="shared" si="2"/>
        <v>1906</v>
      </c>
      <c r="P18" s="430">
        <f t="shared" si="2"/>
        <v>1907</v>
      </c>
      <c r="Q18" s="431"/>
      <c r="R18" s="431" t="s">
        <v>168</v>
      </c>
      <c r="S18" s="417"/>
      <c r="U18" s="419">
        <f>$I$13</f>
        <v>1900</v>
      </c>
      <c r="V18" s="419">
        <f t="shared" ref="V18:AY18" si="3" xml:space="preserve"> U18 + 1</f>
        <v>1901</v>
      </c>
      <c r="W18" s="419">
        <f t="shared" si="3"/>
        <v>1902</v>
      </c>
      <c r="X18" s="419">
        <f t="shared" si="3"/>
        <v>1903</v>
      </c>
      <c r="Y18" s="419">
        <f t="shared" si="3"/>
        <v>1904</v>
      </c>
      <c r="Z18" s="419">
        <f t="shared" si="3"/>
        <v>1905</v>
      </c>
      <c r="AA18" s="419">
        <f t="shared" si="3"/>
        <v>1906</v>
      </c>
      <c r="AB18" s="419">
        <f t="shared" si="3"/>
        <v>1907</v>
      </c>
      <c r="AC18" s="419">
        <f t="shared" si="3"/>
        <v>1908</v>
      </c>
      <c r="AD18" s="419">
        <f t="shared" si="3"/>
        <v>1909</v>
      </c>
      <c r="AE18" s="419">
        <f t="shared" si="3"/>
        <v>1910</v>
      </c>
      <c r="AF18" s="419">
        <f t="shared" si="3"/>
        <v>1911</v>
      </c>
      <c r="AG18" s="419">
        <f t="shared" si="3"/>
        <v>1912</v>
      </c>
      <c r="AH18" s="419">
        <f t="shared" si="3"/>
        <v>1913</v>
      </c>
      <c r="AI18" s="419">
        <f t="shared" si="3"/>
        <v>1914</v>
      </c>
      <c r="AJ18" s="419">
        <f t="shared" si="3"/>
        <v>1915</v>
      </c>
      <c r="AK18" s="419">
        <f t="shared" si="3"/>
        <v>1916</v>
      </c>
      <c r="AL18" s="419">
        <f t="shared" si="3"/>
        <v>1917</v>
      </c>
      <c r="AM18" s="419">
        <f t="shared" si="3"/>
        <v>1918</v>
      </c>
      <c r="AN18" s="419">
        <f t="shared" si="3"/>
        <v>1919</v>
      </c>
      <c r="AO18" s="419">
        <f t="shared" si="3"/>
        <v>1920</v>
      </c>
      <c r="AP18" s="419">
        <f t="shared" si="3"/>
        <v>1921</v>
      </c>
      <c r="AQ18" s="419">
        <f t="shared" si="3"/>
        <v>1922</v>
      </c>
      <c r="AR18" s="419">
        <f t="shared" si="3"/>
        <v>1923</v>
      </c>
      <c r="AS18" s="419">
        <f t="shared" si="3"/>
        <v>1924</v>
      </c>
      <c r="AT18" s="419">
        <f t="shared" si="3"/>
        <v>1925</v>
      </c>
      <c r="AU18" s="419">
        <f t="shared" si="3"/>
        <v>1926</v>
      </c>
      <c r="AV18" s="419">
        <f t="shared" si="3"/>
        <v>1927</v>
      </c>
      <c r="AW18" s="419">
        <f t="shared" si="3"/>
        <v>1928</v>
      </c>
      <c r="AX18" s="419">
        <f t="shared" si="3"/>
        <v>1929</v>
      </c>
      <c r="AY18" s="419">
        <f t="shared" si="3"/>
        <v>1930</v>
      </c>
    </row>
    <row r="19" spans="1:51" s="418" customFormat="1" ht="15" customHeight="1" x14ac:dyDescent="0.25">
      <c r="A19" s="428"/>
      <c r="B19" s="432"/>
      <c r="C19" s="412"/>
      <c r="D19" s="433"/>
      <c r="I19" s="434" t="s">
        <v>510</v>
      </c>
      <c r="J19" s="434" t="s">
        <v>510</v>
      </c>
      <c r="K19" s="434" t="s">
        <v>510</v>
      </c>
      <c r="L19" s="434" t="s">
        <v>510</v>
      </c>
      <c r="M19" s="434" t="s">
        <v>510</v>
      </c>
      <c r="N19" s="434" t="s">
        <v>510</v>
      </c>
      <c r="O19" s="434" t="s">
        <v>510</v>
      </c>
      <c r="P19" s="434" t="s">
        <v>510</v>
      </c>
      <c r="R19" s="434" t="s">
        <v>511</v>
      </c>
      <c r="S19" s="417"/>
      <c r="U19" s="435"/>
    </row>
    <row r="20" spans="1:51" s="418" customFormat="1" ht="15" customHeight="1" x14ac:dyDescent="0.25">
      <c r="A20" s="428"/>
      <c r="B20" s="436"/>
      <c r="C20" s="437">
        <f>Begroting!B115</f>
        <v>0</v>
      </c>
      <c r="D20" s="437">
        <f>Begroting!C115</f>
        <v>0</v>
      </c>
      <c r="E20" s="437">
        <f>Begroting!E115</f>
        <v>0</v>
      </c>
      <c r="F20" s="437">
        <f t="shared" ref="F20:F49" si="4">IFERROR(SEARCH("Grondgebonden",E20,1),0)</f>
        <v>0</v>
      </c>
      <c r="G20" s="437">
        <f t="shared" ref="G20:G49" si="5">IFERROR(SEARCH("Gestapeld",E20,1),0)</f>
        <v>0</v>
      </c>
      <c r="H20" s="437">
        <f>IFERROR(SEARCH("Overige",E20,1),0)</f>
        <v>0</v>
      </c>
      <c r="I20" s="438" t="str" cm="1">
        <f t="array" ref="I20">IF($C20&gt;0,INDEX('Mijlpaal Berekening'!$C$51:$L$65,$C20,COUNTA($I$18:I$18))*Begroting!$D115,"")</f>
        <v/>
      </c>
      <c r="J20" s="438" t="str" cm="1">
        <f t="array" ref="J20">IF($C20&gt;0,INDEX('Mijlpaal Berekening'!$C$51:$L$65,$C20,COUNTA($I$18:J$18))*Begroting!$D115,"")</f>
        <v/>
      </c>
      <c r="K20" s="438" t="str" cm="1">
        <f t="array" ref="K20">IF($C20&gt;0,INDEX('Mijlpaal Berekening'!$C$51:$L$65,$C20,COUNTA($I$18:K$18))*Begroting!$D115,"")</f>
        <v/>
      </c>
      <c r="L20" s="438" t="str" cm="1">
        <f t="array" ref="L20">IF($C20&gt;0,INDEX('Mijlpaal Berekening'!$C$51:$L$65,$C20,COUNTA($I$18:L$18))*Begroting!$D115,"")</f>
        <v/>
      </c>
      <c r="M20" s="438" t="str" cm="1">
        <f t="array" ref="M20">IF($C20&gt;0,INDEX('Mijlpaal Berekening'!$C$51:$L$65,$C20,COUNTA($I$18:M$18))*Begroting!$D115,"")</f>
        <v/>
      </c>
      <c r="N20" s="438" t="str" cm="1">
        <f t="array" ref="N20">IF($C20&gt;0,INDEX('Mijlpaal Berekening'!$C$51:$L$65,$C20,COUNTA($I$18:N$18))*Begroting!$D115,"")</f>
        <v/>
      </c>
      <c r="O20" s="438" t="str" cm="1">
        <f t="array" ref="O20">IF($C20&gt;0,INDEX('Mijlpaal Berekening'!$C$51:$L$65,$C20,COUNTA($I$18:O$18))*Begroting!$D115,"")</f>
        <v/>
      </c>
      <c r="P20" s="438" t="str" cm="1">
        <f t="array" ref="P20">IF($C20&gt;0,INDEX('Mijlpaal Berekening'!$C$51:$L$65,$C20,COUNTA($I$18:P$18))*Begroting!$D115,"")</f>
        <v/>
      </c>
      <c r="R20" s="1082">
        <f>Begroting!H115</f>
        <v>0</v>
      </c>
      <c r="S20" s="417" t="str" cm="1">
        <f t="array" ref="S20">IF(AND(SUM(I20:P20&gt;0),R20=0)=TRUE,"aub invullen","")</f>
        <v/>
      </c>
      <c r="U20" s="418">
        <f>SUMIFS($I20:$P20,$I$18:$P$18,"&lt;="&amp;U$18)</f>
        <v>0</v>
      </c>
      <c r="V20" s="418">
        <f t="shared" ref="V20:AK35" si="6">SUMIFS($I20:$P20,$I$18:$P$18,"&lt;="&amp;V$18)</f>
        <v>0</v>
      </c>
      <c r="W20" s="418">
        <f t="shared" si="6"/>
        <v>0</v>
      </c>
      <c r="X20" s="418">
        <f t="shared" si="6"/>
        <v>0</v>
      </c>
      <c r="Y20" s="418">
        <f t="shared" si="6"/>
        <v>0</v>
      </c>
      <c r="Z20" s="418">
        <f t="shared" si="6"/>
        <v>0</v>
      </c>
      <c r="AA20" s="418">
        <f t="shared" si="6"/>
        <v>0</v>
      </c>
      <c r="AB20" s="418">
        <f t="shared" si="6"/>
        <v>0</v>
      </c>
      <c r="AC20" s="418">
        <f t="shared" si="6"/>
        <v>0</v>
      </c>
      <c r="AD20" s="418">
        <f t="shared" si="6"/>
        <v>0</v>
      </c>
      <c r="AE20" s="418">
        <f t="shared" si="6"/>
        <v>0</v>
      </c>
      <c r="AF20" s="418">
        <f t="shared" si="6"/>
        <v>0</v>
      </c>
      <c r="AG20" s="418">
        <f t="shared" si="6"/>
        <v>0</v>
      </c>
      <c r="AH20" s="418">
        <f t="shared" si="6"/>
        <v>0</v>
      </c>
      <c r="AI20" s="418">
        <f t="shared" si="6"/>
        <v>0</v>
      </c>
      <c r="AJ20" s="418">
        <f t="shared" si="6"/>
        <v>0</v>
      </c>
      <c r="AK20" s="418">
        <f t="shared" si="6"/>
        <v>0</v>
      </c>
      <c r="AL20" s="418">
        <f t="shared" ref="AL20:AY35" si="7">SUMIFS($I20:$P20,$I$18:$P$18,"&lt;="&amp;AL$18)</f>
        <v>0</v>
      </c>
      <c r="AM20" s="418">
        <f t="shared" si="7"/>
        <v>0</v>
      </c>
      <c r="AN20" s="418">
        <f t="shared" si="7"/>
        <v>0</v>
      </c>
      <c r="AO20" s="418">
        <f t="shared" si="7"/>
        <v>0</v>
      </c>
      <c r="AP20" s="418">
        <f t="shared" si="7"/>
        <v>0</v>
      </c>
      <c r="AQ20" s="418">
        <f t="shared" si="7"/>
        <v>0</v>
      </c>
      <c r="AR20" s="418">
        <f t="shared" si="7"/>
        <v>0</v>
      </c>
      <c r="AS20" s="418">
        <f t="shared" si="7"/>
        <v>0</v>
      </c>
      <c r="AT20" s="418">
        <f t="shared" si="7"/>
        <v>0</v>
      </c>
      <c r="AU20" s="418">
        <f t="shared" si="7"/>
        <v>0</v>
      </c>
      <c r="AV20" s="418">
        <f t="shared" si="7"/>
        <v>0</v>
      </c>
      <c r="AW20" s="418">
        <f t="shared" si="7"/>
        <v>0</v>
      </c>
      <c r="AX20" s="418">
        <f t="shared" si="7"/>
        <v>0</v>
      </c>
      <c r="AY20" s="418">
        <f t="shared" si="7"/>
        <v>0</v>
      </c>
    </row>
    <row r="21" spans="1:51" s="418" customFormat="1" ht="15" customHeight="1" x14ac:dyDescent="0.25">
      <c r="A21" s="428"/>
      <c r="B21" s="436"/>
      <c r="C21" s="437">
        <f>Begroting!B116</f>
        <v>0</v>
      </c>
      <c r="D21" s="437">
        <f>Begroting!C116</f>
        <v>0</v>
      </c>
      <c r="E21" s="437">
        <f>Begroting!E116</f>
        <v>0</v>
      </c>
      <c r="F21" s="437">
        <f t="shared" si="4"/>
        <v>0</v>
      </c>
      <c r="G21" s="437">
        <f t="shared" si="5"/>
        <v>0</v>
      </c>
      <c r="H21" s="437">
        <f t="shared" ref="H21:H49" si="8">IFERROR(SEARCH("Overige",E21,1),0)</f>
        <v>0</v>
      </c>
      <c r="I21" s="438" t="str" cm="1">
        <f t="array" ref="I21">IF($C21&gt;0,INDEX('Mijlpaal Berekening'!$C$51:$L$65,$C21,COUNTA($I$18:I$18))*Begroting!$D116,"")</f>
        <v/>
      </c>
      <c r="J21" s="438" t="str" cm="1">
        <f t="array" ref="J21">IF($C21&gt;0,INDEX('Mijlpaal Berekening'!$C$51:$L$65,$C21,COUNTA($I$18:J$18))*Begroting!$D116,"")</f>
        <v/>
      </c>
      <c r="K21" s="438" t="str" cm="1">
        <f t="array" ref="K21">IF($C21&gt;0,INDEX('Mijlpaal Berekening'!$C$51:$L$65,$C21,COUNTA($I$18:K$18))*Begroting!$D116,"")</f>
        <v/>
      </c>
      <c r="L21" s="438" t="str" cm="1">
        <f t="array" ref="L21">IF($C21&gt;0,INDEX('Mijlpaal Berekening'!$C$51:$L$65,$C21,COUNTA($I$18:L$18))*Begroting!$D116,"")</f>
        <v/>
      </c>
      <c r="M21" s="438" t="str" cm="1">
        <f t="array" ref="M21">IF($C21&gt;0,INDEX('Mijlpaal Berekening'!$C$51:$L$65,$C21,COUNTA($I$18:M$18))*Begroting!$D116,"")</f>
        <v/>
      </c>
      <c r="N21" s="438" t="str" cm="1">
        <f t="array" ref="N21">IF($C21&gt;0,INDEX('Mijlpaal Berekening'!$C$51:$L$65,$C21,COUNTA($I$18:N$18))*Begroting!$D116,"")</f>
        <v/>
      </c>
      <c r="O21" s="438" t="str" cm="1">
        <f t="array" ref="O21">IF($C21&gt;0,INDEX('Mijlpaal Berekening'!$C$51:$L$65,$C21,COUNTA($I$18:O$18))*Begroting!$D116,"")</f>
        <v/>
      </c>
      <c r="P21" s="438" t="str" cm="1">
        <f t="array" ref="P21">IF($C21&gt;0,INDEX('Mijlpaal Berekening'!$C$51:$L$65,$C21,COUNTA($I$18:P$18))*Begroting!$D116,"")</f>
        <v/>
      </c>
      <c r="R21" s="1082">
        <f>Begroting!H116</f>
        <v>0</v>
      </c>
      <c r="S21" s="417" t="str" cm="1">
        <f t="array" ref="S21">IF(AND(SUM(I21:P21&gt;0),R21=0)=TRUE,"aub invullen","")</f>
        <v/>
      </c>
      <c r="U21" s="418">
        <f t="shared" ref="U21:AJ36" si="9">SUMIFS($I21:$P21,$I$18:$P$18,"&lt;="&amp;U$18)</f>
        <v>0</v>
      </c>
      <c r="V21" s="418">
        <f t="shared" si="6"/>
        <v>0</v>
      </c>
      <c r="W21" s="418">
        <f t="shared" si="6"/>
        <v>0</v>
      </c>
      <c r="X21" s="418">
        <f t="shared" si="6"/>
        <v>0</v>
      </c>
      <c r="Y21" s="418">
        <f t="shared" si="6"/>
        <v>0</v>
      </c>
      <c r="Z21" s="418">
        <f t="shared" si="6"/>
        <v>0</v>
      </c>
      <c r="AA21" s="418">
        <f t="shared" si="6"/>
        <v>0</v>
      </c>
      <c r="AB21" s="418">
        <f t="shared" si="6"/>
        <v>0</v>
      </c>
      <c r="AC21" s="418">
        <f t="shared" si="6"/>
        <v>0</v>
      </c>
      <c r="AD21" s="418">
        <f t="shared" si="6"/>
        <v>0</v>
      </c>
      <c r="AE21" s="418">
        <f t="shared" si="6"/>
        <v>0</v>
      </c>
      <c r="AF21" s="418">
        <f t="shared" si="6"/>
        <v>0</v>
      </c>
      <c r="AG21" s="418">
        <f t="shared" si="6"/>
        <v>0</v>
      </c>
      <c r="AH21" s="418">
        <f t="shared" si="6"/>
        <v>0</v>
      </c>
      <c r="AI21" s="418">
        <f t="shared" si="6"/>
        <v>0</v>
      </c>
      <c r="AJ21" s="418">
        <f t="shared" si="6"/>
        <v>0</v>
      </c>
      <c r="AK21" s="418">
        <f t="shared" si="6"/>
        <v>0</v>
      </c>
      <c r="AL21" s="418">
        <f t="shared" si="7"/>
        <v>0</v>
      </c>
      <c r="AM21" s="418">
        <f t="shared" si="7"/>
        <v>0</v>
      </c>
      <c r="AN21" s="418">
        <f t="shared" si="7"/>
        <v>0</v>
      </c>
      <c r="AO21" s="418">
        <f t="shared" si="7"/>
        <v>0</v>
      </c>
      <c r="AP21" s="418">
        <f t="shared" si="7"/>
        <v>0</v>
      </c>
      <c r="AQ21" s="418">
        <f t="shared" si="7"/>
        <v>0</v>
      </c>
      <c r="AR21" s="418">
        <f t="shared" si="7"/>
        <v>0</v>
      </c>
      <c r="AS21" s="418">
        <f t="shared" si="7"/>
        <v>0</v>
      </c>
      <c r="AT21" s="418">
        <f t="shared" si="7"/>
        <v>0</v>
      </c>
      <c r="AU21" s="418">
        <f t="shared" si="7"/>
        <v>0</v>
      </c>
      <c r="AV21" s="418">
        <f t="shared" si="7"/>
        <v>0</v>
      </c>
      <c r="AW21" s="418">
        <f t="shared" si="7"/>
        <v>0</v>
      </c>
      <c r="AX21" s="418">
        <f t="shared" si="7"/>
        <v>0</v>
      </c>
      <c r="AY21" s="418">
        <f t="shared" si="7"/>
        <v>0</v>
      </c>
    </row>
    <row r="22" spans="1:51" s="418" customFormat="1" ht="15" customHeight="1" x14ac:dyDescent="0.25">
      <c r="A22" s="428"/>
      <c r="B22" s="436"/>
      <c r="C22" s="437">
        <f>Begroting!B117</f>
        <v>0</v>
      </c>
      <c r="D22" s="437">
        <f>Begroting!C117</f>
        <v>0</v>
      </c>
      <c r="E22" s="437">
        <f>Begroting!E117</f>
        <v>0</v>
      </c>
      <c r="F22" s="437">
        <f t="shared" si="4"/>
        <v>0</v>
      </c>
      <c r="G22" s="437">
        <f t="shared" si="5"/>
        <v>0</v>
      </c>
      <c r="H22" s="437">
        <f t="shared" si="8"/>
        <v>0</v>
      </c>
      <c r="I22" s="438" t="str" cm="1">
        <f t="array" ref="I22">IF($C22&gt;0,INDEX('Mijlpaal Berekening'!$C$51:$L$65,$C22,COUNTA($I$18:I$18))*Begroting!$D117,"")</f>
        <v/>
      </c>
      <c r="J22" s="438" t="str" cm="1">
        <f t="array" ref="J22">IF($C22&gt;0,INDEX('Mijlpaal Berekening'!$C$51:$L$65,$C22,COUNTA($I$18:J$18))*Begroting!$D117,"")</f>
        <v/>
      </c>
      <c r="K22" s="438" t="str" cm="1">
        <f t="array" ref="K22">IF($C22&gt;0,INDEX('Mijlpaal Berekening'!$C$51:$L$65,$C22,COUNTA($I$18:K$18))*Begroting!$D117,"")</f>
        <v/>
      </c>
      <c r="L22" s="438" t="str" cm="1">
        <f t="array" ref="L22">IF($C22&gt;0,INDEX('Mijlpaal Berekening'!$C$51:$L$65,$C22,COUNTA($I$18:L$18))*Begroting!$D117,"")</f>
        <v/>
      </c>
      <c r="M22" s="438" t="str" cm="1">
        <f t="array" ref="M22">IF($C22&gt;0,INDEX('Mijlpaal Berekening'!$C$51:$L$65,$C22,COUNTA($I$18:M$18))*Begroting!$D117,"")</f>
        <v/>
      </c>
      <c r="N22" s="438" t="str" cm="1">
        <f t="array" ref="N22">IF($C22&gt;0,INDEX('Mijlpaal Berekening'!$C$51:$L$65,$C22,COUNTA($I$18:N$18))*Begroting!$D117,"")</f>
        <v/>
      </c>
      <c r="O22" s="438" t="str" cm="1">
        <f t="array" ref="O22">IF($C22&gt;0,INDEX('Mijlpaal Berekening'!$C$51:$L$65,$C22,COUNTA($I$18:O$18))*Begroting!$D117,"")</f>
        <v/>
      </c>
      <c r="P22" s="438" t="str" cm="1">
        <f t="array" ref="P22">IF($C22&gt;0,INDEX('Mijlpaal Berekening'!$C$51:$L$65,$C22,COUNTA($I$18:P$18))*Begroting!$D117,"")</f>
        <v/>
      </c>
      <c r="R22" s="1082">
        <f>Begroting!H117</f>
        <v>0</v>
      </c>
      <c r="S22" s="417" t="str" cm="1">
        <f t="array" ref="S22">IF(AND(SUM(I22:P22&gt;0),R22=0)=TRUE,"aub invullen","")</f>
        <v/>
      </c>
      <c r="U22" s="418">
        <f t="shared" si="9"/>
        <v>0</v>
      </c>
      <c r="V22" s="418">
        <f t="shared" si="6"/>
        <v>0</v>
      </c>
      <c r="W22" s="418">
        <f t="shared" si="6"/>
        <v>0</v>
      </c>
      <c r="X22" s="418">
        <f t="shared" si="6"/>
        <v>0</v>
      </c>
      <c r="Y22" s="418">
        <f t="shared" si="6"/>
        <v>0</v>
      </c>
      <c r="Z22" s="418">
        <f t="shared" si="6"/>
        <v>0</v>
      </c>
      <c r="AA22" s="418">
        <f t="shared" si="6"/>
        <v>0</v>
      </c>
      <c r="AB22" s="418">
        <f t="shared" si="6"/>
        <v>0</v>
      </c>
      <c r="AC22" s="418">
        <f t="shared" si="6"/>
        <v>0</v>
      </c>
      <c r="AD22" s="418">
        <f t="shared" si="6"/>
        <v>0</v>
      </c>
      <c r="AE22" s="418">
        <f t="shared" si="6"/>
        <v>0</v>
      </c>
      <c r="AF22" s="418">
        <f t="shared" si="6"/>
        <v>0</v>
      </c>
      <c r="AG22" s="418">
        <f t="shared" si="6"/>
        <v>0</v>
      </c>
      <c r="AH22" s="418">
        <f t="shared" si="6"/>
        <v>0</v>
      </c>
      <c r="AI22" s="418">
        <f t="shared" si="6"/>
        <v>0</v>
      </c>
      <c r="AJ22" s="418">
        <f t="shared" si="6"/>
        <v>0</v>
      </c>
      <c r="AK22" s="418">
        <f t="shared" si="6"/>
        <v>0</v>
      </c>
      <c r="AL22" s="418">
        <f t="shared" si="7"/>
        <v>0</v>
      </c>
      <c r="AM22" s="418">
        <f t="shared" si="7"/>
        <v>0</v>
      </c>
      <c r="AN22" s="418">
        <f t="shared" si="7"/>
        <v>0</v>
      </c>
      <c r="AO22" s="418">
        <f t="shared" si="7"/>
        <v>0</v>
      </c>
      <c r="AP22" s="418">
        <f t="shared" si="7"/>
        <v>0</v>
      </c>
      <c r="AQ22" s="418">
        <f t="shared" si="7"/>
        <v>0</v>
      </c>
      <c r="AR22" s="418">
        <f t="shared" si="7"/>
        <v>0</v>
      </c>
      <c r="AS22" s="418">
        <f t="shared" si="7"/>
        <v>0</v>
      </c>
      <c r="AT22" s="418">
        <f t="shared" si="7"/>
        <v>0</v>
      </c>
      <c r="AU22" s="418">
        <f t="shared" si="7"/>
        <v>0</v>
      </c>
      <c r="AV22" s="418">
        <f t="shared" si="7"/>
        <v>0</v>
      </c>
      <c r="AW22" s="418">
        <f t="shared" si="7"/>
        <v>0</v>
      </c>
      <c r="AX22" s="418">
        <f t="shared" si="7"/>
        <v>0</v>
      </c>
      <c r="AY22" s="418">
        <f t="shared" si="7"/>
        <v>0</v>
      </c>
    </row>
    <row r="23" spans="1:51" s="418" customFormat="1" ht="15" customHeight="1" x14ac:dyDescent="0.25">
      <c r="A23" s="428"/>
      <c r="B23" s="436"/>
      <c r="C23" s="437">
        <f>Begroting!B118</f>
        <v>0</v>
      </c>
      <c r="D23" s="437">
        <f>Begroting!C118</f>
        <v>0</v>
      </c>
      <c r="E23" s="437">
        <f>Begroting!E118</f>
        <v>0</v>
      </c>
      <c r="F23" s="437">
        <f t="shared" si="4"/>
        <v>0</v>
      </c>
      <c r="G23" s="437">
        <f t="shared" si="5"/>
        <v>0</v>
      </c>
      <c r="H23" s="437">
        <f t="shared" si="8"/>
        <v>0</v>
      </c>
      <c r="I23" s="438" t="str" cm="1">
        <f t="array" ref="I23">IF($C23&gt;0,INDEX('Mijlpaal Berekening'!$C$51:$L$65,$C23,COUNTA($I$18:I$18))*Begroting!$D118,"")</f>
        <v/>
      </c>
      <c r="J23" s="438" t="str" cm="1">
        <f t="array" ref="J23">IF($C23&gt;0,INDEX('Mijlpaal Berekening'!$C$51:$L$65,$C23,COUNTA($I$18:J$18))*Begroting!$D118,"")</f>
        <v/>
      </c>
      <c r="K23" s="438" t="str" cm="1">
        <f t="array" ref="K23">IF($C23&gt;0,INDEX('Mijlpaal Berekening'!$C$51:$L$65,$C23,COUNTA($I$18:K$18))*Begroting!$D118,"")</f>
        <v/>
      </c>
      <c r="L23" s="438" t="str" cm="1">
        <f t="array" ref="L23">IF($C23&gt;0,INDEX('Mijlpaal Berekening'!$C$51:$L$65,$C23,COUNTA($I$18:L$18))*Begroting!$D118,"")</f>
        <v/>
      </c>
      <c r="M23" s="438" t="str" cm="1">
        <f t="array" ref="M23">IF($C23&gt;0,INDEX('Mijlpaal Berekening'!$C$51:$L$65,$C23,COUNTA($I$18:M$18))*Begroting!$D118,"")</f>
        <v/>
      </c>
      <c r="N23" s="438" t="str" cm="1">
        <f t="array" ref="N23">IF($C23&gt;0,INDEX('Mijlpaal Berekening'!$C$51:$L$65,$C23,COUNTA($I$18:N$18))*Begroting!$D118,"")</f>
        <v/>
      </c>
      <c r="O23" s="438" t="str" cm="1">
        <f t="array" ref="O23">IF($C23&gt;0,INDEX('Mijlpaal Berekening'!$C$51:$L$65,$C23,COUNTA($I$18:O$18))*Begroting!$D118,"")</f>
        <v/>
      </c>
      <c r="P23" s="438" t="str" cm="1">
        <f t="array" ref="P23">IF($C23&gt;0,INDEX('Mijlpaal Berekening'!$C$51:$L$65,$C23,COUNTA($I$18:P$18))*Begroting!$D118,"")</f>
        <v/>
      </c>
      <c r="R23" s="1082">
        <f>Begroting!H118</f>
        <v>0</v>
      </c>
      <c r="S23" s="417" t="str" cm="1">
        <f t="array" ref="S23">IF(AND(SUM(I23:P23&gt;0),R23=0)=TRUE,"aub invullen","")</f>
        <v/>
      </c>
      <c r="U23" s="418">
        <f t="shared" si="9"/>
        <v>0</v>
      </c>
      <c r="V23" s="418">
        <f t="shared" si="6"/>
        <v>0</v>
      </c>
      <c r="W23" s="418">
        <f>SUMIFS($I23:$P23,$I$18:$P$18,"&lt;="&amp;W$18)</f>
        <v>0</v>
      </c>
      <c r="X23" s="418">
        <f t="shared" si="6"/>
        <v>0</v>
      </c>
      <c r="Y23" s="418">
        <f t="shared" si="6"/>
        <v>0</v>
      </c>
      <c r="Z23" s="418">
        <f t="shared" si="6"/>
        <v>0</v>
      </c>
      <c r="AA23" s="418">
        <f t="shared" si="6"/>
        <v>0</v>
      </c>
      <c r="AB23" s="418">
        <f t="shared" si="6"/>
        <v>0</v>
      </c>
      <c r="AC23" s="418">
        <f t="shared" si="6"/>
        <v>0</v>
      </c>
      <c r="AD23" s="418">
        <f t="shared" si="6"/>
        <v>0</v>
      </c>
      <c r="AE23" s="418">
        <f t="shared" si="6"/>
        <v>0</v>
      </c>
      <c r="AF23" s="418">
        <f t="shared" si="6"/>
        <v>0</v>
      </c>
      <c r="AG23" s="418">
        <f t="shared" si="6"/>
        <v>0</v>
      </c>
      <c r="AH23" s="418">
        <f t="shared" si="6"/>
        <v>0</v>
      </c>
      <c r="AI23" s="418">
        <f t="shared" si="6"/>
        <v>0</v>
      </c>
      <c r="AJ23" s="418">
        <f t="shared" si="6"/>
        <v>0</v>
      </c>
      <c r="AK23" s="418">
        <f t="shared" si="6"/>
        <v>0</v>
      </c>
      <c r="AL23" s="418">
        <f t="shared" si="7"/>
        <v>0</v>
      </c>
      <c r="AM23" s="418">
        <f t="shared" si="7"/>
        <v>0</v>
      </c>
      <c r="AN23" s="418">
        <f t="shared" si="7"/>
        <v>0</v>
      </c>
      <c r="AO23" s="418">
        <f t="shared" si="7"/>
        <v>0</v>
      </c>
      <c r="AP23" s="418">
        <f t="shared" si="7"/>
        <v>0</v>
      </c>
      <c r="AQ23" s="418">
        <f t="shared" si="7"/>
        <v>0</v>
      </c>
      <c r="AR23" s="418">
        <f t="shared" si="7"/>
        <v>0</v>
      </c>
      <c r="AS23" s="418">
        <f t="shared" si="7"/>
        <v>0</v>
      </c>
      <c r="AT23" s="418">
        <f t="shared" si="7"/>
        <v>0</v>
      </c>
      <c r="AU23" s="418">
        <f t="shared" si="7"/>
        <v>0</v>
      </c>
      <c r="AV23" s="418">
        <f t="shared" si="7"/>
        <v>0</v>
      </c>
      <c r="AW23" s="418">
        <f t="shared" si="7"/>
        <v>0</v>
      </c>
      <c r="AX23" s="418">
        <f t="shared" si="7"/>
        <v>0</v>
      </c>
      <c r="AY23" s="418">
        <f t="shared" si="7"/>
        <v>0</v>
      </c>
    </row>
    <row r="24" spans="1:51" s="418" customFormat="1" ht="15" customHeight="1" x14ac:dyDescent="0.25">
      <c r="A24" s="428"/>
      <c r="B24" s="436"/>
      <c r="C24" s="437">
        <f>Begroting!B119</f>
        <v>0</v>
      </c>
      <c r="D24" s="437">
        <f>Begroting!C119</f>
        <v>0</v>
      </c>
      <c r="E24" s="437">
        <f>Begroting!E119</f>
        <v>0</v>
      </c>
      <c r="F24" s="437">
        <f t="shared" si="4"/>
        <v>0</v>
      </c>
      <c r="G24" s="437">
        <f t="shared" si="5"/>
        <v>0</v>
      </c>
      <c r="H24" s="437">
        <f t="shared" si="8"/>
        <v>0</v>
      </c>
      <c r="I24" s="438" t="str" cm="1">
        <f t="array" ref="I24">IF($C24&gt;0,INDEX('Mijlpaal Berekening'!$C$51:$L$65,$C24,COUNTA($I$18:I$18))*Begroting!$D119,"")</f>
        <v/>
      </c>
      <c r="J24" s="438" t="str" cm="1">
        <f t="array" ref="J24">IF($C24&gt;0,INDEX('Mijlpaal Berekening'!$C$51:$L$65,$C24,COUNTA($I$18:J$18))*Begroting!$D119,"")</f>
        <v/>
      </c>
      <c r="K24" s="438" t="str" cm="1">
        <f t="array" ref="K24">IF($C24&gt;0,INDEX('Mijlpaal Berekening'!$C$51:$L$65,$C24,COUNTA($I$18:K$18))*Begroting!$D119,"")</f>
        <v/>
      </c>
      <c r="L24" s="438" t="str" cm="1">
        <f t="array" ref="L24">IF($C24&gt;0,INDEX('Mijlpaal Berekening'!$C$51:$L$65,$C24,COUNTA($I$18:L$18))*Begroting!$D119,"")</f>
        <v/>
      </c>
      <c r="M24" s="438" t="str" cm="1">
        <f t="array" ref="M24">IF($C24&gt;0,INDEX('Mijlpaal Berekening'!$C$51:$L$65,$C24,COUNTA($I$18:M$18))*Begroting!$D119,"")</f>
        <v/>
      </c>
      <c r="N24" s="438" t="str" cm="1">
        <f t="array" ref="N24">IF($C24&gt;0,INDEX('Mijlpaal Berekening'!$C$51:$L$65,$C24,COUNTA($I$18:N$18))*Begroting!$D119,"")</f>
        <v/>
      </c>
      <c r="O24" s="438" t="str" cm="1">
        <f t="array" ref="O24">IF($C24&gt;0,INDEX('Mijlpaal Berekening'!$C$51:$L$65,$C24,COUNTA($I$18:O$18))*Begroting!$D119,"")</f>
        <v/>
      </c>
      <c r="P24" s="438" t="str" cm="1">
        <f t="array" ref="P24">IF($C24&gt;0,INDEX('Mijlpaal Berekening'!$C$51:$L$65,$C24,COUNTA($I$18:P$18))*Begroting!$D119,"")</f>
        <v/>
      </c>
      <c r="R24" s="1082">
        <f>Begroting!H119</f>
        <v>0</v>
      </c>
      <c r="S24" s="417" t="str" cm="1">
        <f t="array" ref="S24">IF(AND(SUM(I24:P24&gt;0),R24=0)=TRUE,"aub invullen","")</f>
        <v/>
      </c>
      <c r="U24" s="418">
        <f t="shared" si="9"/>
        <v>0</v>
      </c>
      <c r="V24" s="418">
        <f t="shared" si="6"/>
        <v>0</v>
      </c>
      <c r="W24" s="418">
        <f t="shared" si="6"/>
        <v>0</v>
      </c>
      <c r="X24" s="418">
        <f t="shared" si="6"/>
        <v>0</v>
      </c>
      <c r="Y24" s="418">
        <f t="shared" si="6"/>
        <v>0</v>
      </c>
      <c r="Z24" s="418">
        <f t="shared" si="6"/>
        <v>0</v>
      </c>
      <c r="AA24" s="418">
        <f t="shared" si="6"/>
        <v>0</v>
      </c>
      <c r="AB24" s="418">
        <f t="shared" si="6"/>
        <v>0</v>
      </c>
      <c r="AC24" s="418">
        <f t="shared" si="6"/>
        <v>0</v>
      </c>
      <c r="AD24" s="418">
        <f t="shared" si="6"/>
        <v>0</v>
      </c>
      <c r="AE24" s="418">
        <f t="shared" si="6"/>
        <v>0</v>
      </c>
      <c r="AF24" s="418">
        <f t="shared" si="6"/>
        <v>0</v>
      </c>
      <c r="AG24" s="418">
        <f t="shared" si="6"/>
        <v>0</v>
      </c>
      <c r="AH24" s="418">
        <f t="shared" si="6"/>
        <v>0</v>
      </c>
      <c r="AI24" s="418">
        <f t="shared" si="6"/>
        <v>0</v>
      </c>
      <c r="AJ24" s="418">
        <f t="shared" si="6"/>
        <v>0</v>
      </c>
      <c r="AK24" s="418">
        <f t="shared" si="6"/>
        <v>0</v>
      </c>
      <c r="AL24" s="418">
        <f t="shared" si="7"/>
        <v>0</v>
      </c>
      <c r="AM24" s="418">
        <f t="shared" si="7"/>
        <v>0</v>
      </c>
      <c r="AN24" s="418">
        <f t="shared" si="7"/>
        <v>0</v>
      </c>
      <c r="AO24" s="418">
        <f t="shared" si="7"/>
        <v>0</v>
      </c>
      <c r="AP24" s="418">
        <f t="shared" si="7"/>
        <v>0</v>
      </c>
      <c r="AQ24" s="418">
        <f t="shared" si="7"/>
        <v>0</v>
      </c>
      <c r="AR24" s="418">
        <f t="shared" si="7"/>
        <v>0</v>
      </c>
      <c r="AS24" s="418">
        <f t="shared" si="7"/>
        <v>0</v>
      </c>
      <c r="AT24" s="418">
        <f t="shared" si="7"/>
        <v>0</v>
      </c>
      <c r="AU24" s="418">
        <f t="shared" si="7"/>
        <v>0</v>
      </c>
      <c r="AV24" s="418">
        <f t="shared" si="7"/>
        <v>0</v>
      </c>
      <c r="AW24" s="418">
        <f t="shared" si="7"/>
        <v>0</v>
      </c>
      <c r="AX24" s="418">
        <f t="shared" si="7"/>
        <v>0</v>
      </c>
      <c r="AY24" s="418">
        <f t="shared" si="7"/>
        <v>0</v>
      </c>
    </row>
    <row r="25" spans="1:51" s="418" customFormat="1" ht="15" customHeight="1" x14ac:dyDescent="0.25">
      <c r="A25" s="428"/>
      <c r="B25" s="436"/>
      <c r="C25" s="437">
        <f>Begroting!B120</f>
        <v>0</v>
      </c>
      <c r="D25" s="437">
        <f>Begroting!C120</f>
        <v>0</v>
      </c>
      <c r="E25" s="437">
        <f>Begroting!E120</f>
        <v>0</v>
      </c>
      <c r="F25" s="437">
        <f t="shared" si="4"/>
        <v>0</v>
      </c>
      <c r="G25" s="437">
        <f t="shared" si="5"/>
        <v>0</v>
      </c>
      <c r="H25" s="437">
        <f t="shared" si="8"/>
        <v>0</v>
      </c>
      <c r="I25" s="438" t="str" cm="1">
        <f t="array" ref="I25">IF($C25&gt;0,INDEX('Mijlpaal Berekening'!$C$51:$L$65,$C25,COUNTA($I$18:I$18))*Begroting!$D120,"")</f>
        <v/>
      </c>
      <c r="J25" s="438" t="str" cm="1">
        <f t="array" ref="J25">IF($C25&gt;0,INDEX('Mijlpaal Berekening'!$C$51:$L$65,$C25,COUNTA($I$18:J$18))*Begroting!$D120,"")</f>
        <v/>
      </c>
      <c r="K25" s="438" t="str" cm="1">
        <f t="array" ref="K25">IF($C25&gt;0,INDEX('Mijlpaal Berekening'!$C$51:$L$65,$C25,COUNTA($I$18:K$18))*Begroting!$D120,"")</f>
        <v/>
      </c>
      <c r="L25" s="438" t="str" cm="1">
        <f t="array" ref="L25">IF($C25&gt;0,INDEX('Mijlpaal Berekening'!$C$51:$L$65,$C25,COUNTA($I$18:L$18))*Begroting!$D120,"")</f>
        <v/>
      </c>
      <c r="M25" s="438" t="str" cm="1">
        <f t="array" ref="M25">IF($C25&gt;0,INDEX('Mijlpaal Berekening'!$C$51:$L$65,$C25,COUNTA($I$18:M$18))*Begroting!$D120,"")</f>
        <v/>
      </c>
      <c r="N25" s="438" t="str" cm="1">
        <f t="array" ref="N25">IF($C25&gt;0,INDEX('Mijlpaal Berekening'!$C$51:$L$65,$C25,COUNTA($I$18:N$18))*Begroting!$D120,"")</f>
        <v/>
      </c>
      <c r="O25" s="438" t="str" cm="1">
        <f t="array" ref="O25">IF($C25&gt;0,INDEX('Mijlpaal Berekening'!$C$51:$L$65,$C25,COUNTA($I$18:O$18))*Begroting!$D120,"")</f>
        <v/>
      </c>
      <c r="P25" s="438" t="str" cm="1">
        <f t="array" ref="P25">IF($C25&gt;0,INDEX('Mijlpaal Berekening'!$C$51:$L$65,$C25,COUNTA($I$18:P$18))*Begroting!$D120,"")</f>
        <v/>
      </c>
      <c r="R25" s="1082">
        <f>Begroting!H120</f>
        <v>0</v>
      </c>
      <c r="S25" s="417" t="str" cm="1">
        <f t="array" ref="S25">IF(AND(SUM(I25:P25&gt;0),R25=0)=TRUE,"aub invullen","")</f>
        <v/>
      </c>
      <c r="U25" s="418">
        <f t="shared" si="9"/>
        <v>0</v>
      </c>
      <c r="V25" s="418">
        <f t="shared" si="6"/>
        <v>0</v>
      </c>
      <c r="W25" s="418">
        <f t="shared" si="6"/>
        <v>0</v>
      </c>
      <c r="X25" s="418">
        <f t="shared" si="6"/>
        <v>0</v>
      </c>
      <c r="Y25" s="418">
        <f t="shared" si="6"/>
        <v>0</v>
      </c>
      <c r="Z25" s="418">
        <f t="shared" si="6"/>
        <v>0</v>
      </c>
      <c r="AA25" s="418">
        <f t="shared" si="6"/>
        <v>0</v>
      </c>
      <c r="AB25" s="418">
        <f t="shared" si="6"/>
        <v>0</v>
      </c>
      <c r="AC25" s="418">
        <f t="shared" si="6"/>
        <v>0</v>
      </c>
      <c r="AD25" s="418">
        <f t="shared" si="6"/>
        <v>0</v>
      </c>
      <c r="AE25" s="418">
        <f t="shared" si="6"/>
        <v>0</v>
      </c>
      <c r="AF25" s="418">
        <f t="shared" si="6"/>
        <v>0</v>
      </c>
      <c r="AG25" s="418">
        <f t="shared" si="6"/>
        <v>0</v>
      </c>
      <c r="AH25" s="418">
        <f t="shared" si="6"/>
        <v>0</v>
      </c>
      <c r="AI25" s="418">
        <f t="shared" si="6"/>
        <v>0</v>
      </c>
      <c r="AJ25" s="418">
        <f t="shared" si="6"/>
        <v>0</v>
      </c>
      <c r="AK25" s="418">
        <f t="shared" si="6"/>
        <v>0</v>
      </c>
      <c r="AL25" s="418">
        <f t="shared" si="7"/>
        <v>0</v>
      </c>
      <c r="AM25" s="418">
        <f t="shared" si="7"/>
        <v>0</v>
      </c>
      <c r="AN25" s="418">
        <f t="shared" si="7"/>
        <v>0</v>
      </c>
      <c r="AO25" s="418">
        <f t="shared" si="7"/>
        <v>0</v>
      </c>
      <c r="AP25" s="418">
        <f t="shared" si="7"/>
        <v>0</v>
      </c>
      <c r="AQ25" s="418">
        <f t="shared" si="7"/>
        <v>0</v>
      </c>
      <c r="AR25" s="418">
        <f t="shared" si="7"/>
        <v>0</v>
      </c>
      <c r="AS25" s="418">
        <f t="shared" si="7"/>
        <v>0</v>
      </c>
      <c r="AT25" s="418">
        <f t="shared" si="7"/>
        <v>0</v>
      </c>
      <c r="AU25" s="418">
        <f t="shared" si="7"/>
        <v>0</v>
      </c>
      <c r="AV25" s="418">
        <f t="shared" si="7"/>
        <v>0</v>
      </c>
      <c r="AW25" s="418">
        <f t="shared" si="7"/>
        <v>0</v>
      </c>
      <c r="AX25" s="418">
        <f t="shared" si="7"/>
        <v>0</v>
      </c>
      <c r="AY25" s="418">
        <f t="shared" si="7"/>
        <v>0</v>
      </c>
    </row>
    <row r="26" spans="1:51" s="418" customFormat="1" ht="15" customHeight="1" x14ac:dyDescent="0.25">
      <c r="A26" s="428"/>
      <c r="B26" s="436"/>
      <c r="C26" s="437">
        <f>Begroting!B121</f>
        <v>0</v>
      </c>
      <c r="D26" s="437">
        <f>Begroting!C121</f>
        <v>0</v>
      </c>
      <c r="E26" s="437">
        <f>Begroting!E121</f>
        <v>0</v>
      </c>
      <c r="F26" s="437">
        <f t="shared" si="4"/>
        <v>0</v>
      </c>
      <c r="G26" s="437">
        <f t="shared" si="5"/>
        <v>0</v>
      </c>
      <c r="H26" s="437">
        <f t="shared" si="8"/>
        <v>0</v>
      </c>
      <c r="I26" s="438" t="str" cm="1">
        <f t="array" ref="I26">IF($C26&gt;0,INDEX('Mijlpaal Berekening'!$C$51:$L$65,$C26,COUNTA($I$18:I$18))*Begroting!$D121,"")</f>
        <v/>
      </c>
      <c r="J26" s="438" t="str" cm="1">
        <f t="array" ref="J26">IF($C26&gt;0,INDEX('Mijlpaal Berekening'!$C$51:$L$65,$C26,COUNTA($I$18:J$18))*Begroting!$D121,"")</f>
        <v/>
      </c>
      <c r="K26" s="438" t="str" cm="1">
        <f t="array" ref="K26">IF($C26&gt;0,INDEX('Mijlpaal Berekening'!$C$51:$L$65,$C26,COUNTA($I$18:K$18))*Begroting!$D121,"")</f>
        <v/>
      </c>
      <c r="L26" s="438" t="str" cm="1">
        <f t="array" ref="L26">IF($C26&gt;0,INDEX('Mijlpaal Berekening'!$C$51:$L$65,$C26,COUNTA($I$18:L$18))*Begroting!$D121,"")</f>
        <v/>
      </c>
      <c r="M26" s="438" t="str" cm="1">
        <f t="array" ref="M26">IF($C26&gt;0,INDEX('Mijlpaal Berekening'!$C$51:$L$65,$C26,COUNTA($I$18:M$18))*Begroting!$D121,"")</f>
        <v/>
      </c>
      <c r="N26" s="438" t="str" cm="1">
        <f t="array" ref="N26">IF($C26&gt;0,INDEX('Mijlpaal Berekening'!$C$51:$L$65,$C26,COUNTA($I$18:N$18))*Begroting!$D121,"")</f>
        <v/>
      </c>
      <c r="O26" s="438" t="str" cm="1">
        <f t="array" ref="O26">IF($C26&gt;0,INDEX('Mijlpaal Berekening'!$C$51:$L$65,$C26,COUNTA($I$18:O$18))*Begroting!$D121,"")</f>
        <v/>
      </c>
      <c r="P26" s="438" t="str" cm="1">
        <f t="array" ref="P26">IF($C26&gt;0,INDEX('Mijlpaal Berekening'!$C$51:$L$65,$C26,COUNTA($I$18:P$18))*Begroting!$D121,"")</f>
        <v/>
      </c>
      <c r="R26" s="1082">
        <f>Begroting!H121</f>
        <v>0</v>
      </c>
      <c r="S26" s="417" t="str" cm="1">
        <f t="array" ref="S26">IF(AND(SUM(I26:P26&gt;0),R26=0)=TRUE,"aub invullen","")</f>
        <v/>
      </c>
      <c r="U26" s="418">
        <f t="shared" si="9"/>
        <v>0</v>
      </c>
      <c r="V26" s="418">
        <f t="shared" si="6"/>
        <v>0</v>
      </c>
      <c r="W26" s="418">
        <f t="shared" si="6"/>
        <v>0</v>
      </c>
      <c r="X26" s="418">
        <f t="shared" si="6"/>
        <v>0</v>
      </c>
      <c r="Y26" s="418">
        <f t="shared" si="6"/>
        <v>0</v>
      </c>
      <c r="Z26" s="418">
        <f t="shared" si="6"/>
        <v>0</v>
      </c>
      <c r="AA26" s="418">
        <f t="shared" si="6"/>
        <v>0</v>
      </c>
      <c r="AB26" s="418">
        <f t="shared" si="6"/>
        <v>0</v>
      </c>
      <c r="AC26" s="418">
        <f t="shared" si="6"/>
        <v>0</v>
      </c>
      <c r="AD26" s="418">
        <f t="shared" si="6"/>
        <v>0</v>
      </c>
      <c r="AE26" s="418">
        <f t="shared" si="6"/>
        <v>0</v>
      </c>
      <c r="AF26" s="418">
        <f t="shared" si="6"/>
        <v>0</v>
      </c>
      <c r="AG26" s="418">
        <f t="shared" si="6"/>
        <v>0</v>
      </c>
      <c r="AH26" s="418">
        <f t="shared" si="6"/>
        <v>0</v>
      </c>
      <c r="AI26" s="418">
        <f t="shared" si="6"/>
        <v>0</v>
      </c>
      <c r="AJ26" s="418">
        <f t="shared" si="6"/>
        <v>0</v>
      </c>
      <c r="AK26" s="418">
        <f t="shared" si="6"/>
        <v>0</v>
      </c>
      <c r="AL26" s="418">
        <f t="shared" si="7"/>
        <v>0</v>
      </c>
      <c r="AM26" s="418">
        <f t="shared" si="7"/>
        <v>0</v>
      </c>
      <c r="AN26" s="418">
        <f t="shared" si="7"/>
        <v>0</v>
      </c>
      <c r="AO26" s="418">
        <f t="shared" si="7"/>
        <v>0</v>
      </c>
      <c r="AP26" s="418">
        <f t="shared" si="7"/>
        <v>0</v>
      </c>
      <c r="AQ26" s="418">
        <f t="shared" si="7"/>
        <v>0</v>
      </c>
      <c r="AR26" s="418">
        <f t="shared" si="7"/>
        <v>0</v>
      </c>
      <c r="AS26" s="418">
        <f t="shared" si="7"/>
        <v>0</v>
      </c>
      <c r="AT26" s="418">
        <f t="shared" si="7"/>
        <v>0</v>
      </c>
      <c r="AU26" s="418">
        <f t="shared" si="7"/>
        <v>0</v>
      </c>
      <c r="AV26" s="418">
        <f t="shared" si="7"/>
        <v>0</v>
      </c>
      <c r="AW26" s="418">
        <f t="shared" si="7"/>
        <v>0</v>
      </c>
      <c r="AX26" s="418">
        <f t="shared" si="7"/>
        <v>0</v>
      </c>
      <c r="AY26" s="418">
        <f t="shared" si="7"/>
        <v>0</v>
      </c>
    </row>
    <row r="27" spans="1:51" s="418" customFormat="1" ht="15" customHeight="1" x14ac:dyDescent="0.25">
      <c r="A27" s="428"/>
      <c r="B27" s="436"/>
      <c r="C27" s="437">
        <f>Begroting!B122</f>
        <v>0</v>
      </c>
      <c r="D27" s="437">
        <f>Begroting!C122</f>
        <v>0</v>
      </c>
      <c r="E27" s="437">
        <f>Begroting!E122</f>
        <v>0</v>
      </c>
      <c r="F27" s="437">
        <f t="shared" si="4"/>
        <v>0</v>
      </c>
      <c r="G27" s="437">
        <f t="shared" si="5"/>
        <v>0</v>
      </c>
      <c r="H27" s="437">
        <f t="shared" si="8"/>
        <v>0</v>
      </c>
      <c r="I27" s="438" t="str" cm="1">
        <f t="array" ref="I27">IF($C27&gt;0,INDEX('Mijlpaal Berekening'!$C$51:$L$65,$C27,COUNTA($I$18:I$18))*Begroting!$D122,"")</f>
        <v/>
      </c>
      <c r="J27" s="438" t="str" cm="1">
        <f t="array" ref="J27">IF($C27&gt;0,INDEX('Mijlpaal Berekening'!$C$51:$L$65,$C27,COUNTA($I$18:J$18))*Begroting!$D122,"")</f>
        <v/>
      </c>
      <c r="K27" s="438" t="str" cm="1">
        <f t="array" ref="K27">IF($C27&gt;0,INDEX('Mijlpaal Berekening'!$C$51:$L$65,$C27,COUNTA($I$18:K$18))*Begroting!$D122,"")</f>
        <v/>
      </c>
      <c r="L27" s="438" t="str" cm="1">
        <f t="array" ref="L27">IF($C27&gt;0,INDEX('Mijlpaal Berekening'!$C$51:$L$65,$C27,COUNTA($I$18:L$18))*Begroting!$D122,"")</f>
        <v/>
      </c>
      <c r="M27" s="438" t="str" cm="1">
        <f t="array" ref="M27">IF($C27&gt;0,INDEX('Mijlpaal Berekening'!$C$51:$L$65,$C27,COUNTA($I$18:M$18))*Begroting!$D122,"")</f>
        <v/>
      </c>
      <c r="N27" s="438" t="str" cm="1">
        <f t="array" ref="N27">IF($C27&gt;0,INDEX('Mijlpaal Berekening'!$C$51:$L$65,$C27,COUNTA($I$18:N$18))*Begroting!$D122,"")</f>
        <v/>
      </c>
      <c r="O27" s="438" t="str" cm="1">
        <f t="array" ref="O27">IF($C27&gt;0,INDEX('Mijlpaal Berekening'!$C$51:$L$65,$C27,COUNTA($I$18:O$18))*Begroting!$D122,"")</f>
        <v/>
      </c>
      <c r="P27" s="438" t="str" cm="1">
        <f t="array" ref="P27">IF($C27&gt;0,INDEX('Mijlpaal Berekening'!$C$51:$L$65,$C27,COUNTA($I$18:P$18))*Begroting!$D122,"")</f>
        <v/>
      </c>
      <c r="R27" s="1082">
        <f>Begroting!H122</f>
        <v>0</v>
      </c>
      <c r="S27" s="417" t="str" cm="1">
        <f t="array" ref="S27">IF(AND(SUM(I27:P27&gt;0),R27=0)=TRUE,"aub invullen","")</f>
        <v/>
      </c>
      <c r="U27" s="418">
        <f t="shared" si="9"/>
        <v>0</v>
      </c>
      <c r="V27" s="418">
        <f t="shared" si="6"/>
        <v>0</v>
      </c>
      <c r="W27" s="418">
        <f t="shared" si="6"/>
        <v>0</v>
      </c>
      <c r="X27" s="418">
        <f t="shared" si="6"/>
        <v>0</v>
      </c>
      <c r="Y27" s="418">
        <f t="shared" si="6"/>
        <v>0</v>
      </c>
      <c r="Z27" s="418">
        <f t="shared" si="6"/>
        <v>0</v>
      </c>
      <c r="AA27" s="418">
        <f t="shared" si="6"/>
        <v>0</v>
      </c>
      <c r="AB27" s="418">
        <f t="shared" si="6"/>
        <v>0</v>
      </c>
      <c r="AC27" s="418">
        <f t="shared" si="6"/>
        <v>0</v>
      </c>
      <c r="AD27" s="418">
        <f t="shared" si="6"/>
        <v>0</v>
      </c>
      <c r="AE27" s="418">
        <f t="shared" si="6"/>
        <v>0</v>
      </c>
      <c r="AF27" s="418">
        <f t="shared" si="6"/>
        <v>0</v>
      </c>
      <c r="AG27" s="418">
        <f t="shared" si="6"/>
        <v>0</v>
      </c>
      <c r="AH27" s="418">
        <f t="shared" si="6"/>
        <v>0</v>
      </c>
      <c r="AI27" s="418">
        <f t="shared" si="6"/>
        <v>0</v>
      </c>
      <c r="AJ27" s="418">
        <f t="shared" si="6"/>
        <v>0</v>
      </c>
      <c r="AK27" s="418">
        <f t="shared" si="6"/>
        <v>0</v>
      </c>
      <c r="AL27" s="418">
        <f t="shared" si="7"/>
        <v>0</v>
      </c>
      <c r="AM27" s="418">
        <f t="shared" si="7"/>
        <v>0</v>
      </c>
      <c r="AN27" s="418">
        <f t="shared" si="7"/>
        <v>0</v>
      </c>
      <c r="AO27" s="418">
        <f t="shared" si="7"/>
        <v>0</v>
      </c>
      <c r="AP27" s="418">
        <f t="shared" si="7"/>
        <v>0</v>
      </c>
      <c r="AQ27" s="418">
        <f t="shared" si="7"/>
        <v>0</v>
      </c>
      <c r="AR27" s="418">
        <f t="shared" si="7"/>
        <v>0</v>
      </c>
      <c r="AS27" s="418">
        <f t="shared" si="7"/>
        <v>0</v>
      </c>
      <c r="AT27" s="418">
        <f t="shared" si="7"/>
        <v>0</v>
      </c>
      <c r="AU27" s="418">
        <f t="shared" si="7"/>
        <v>0</v>
      </c>
      <c r="AV27" s="418">
        <f t="shared" si="7"/>
        <v>0</v>
      </c>
      <c r="AW27" s="418">
        <f t="shared" si="7"/>
        <v>0</v>
      </c>
      <c r="AX27" s="418">
        <f t="shared" si="7"/>
        <v>0</v>
      </c>
      <c r="AY27" s="418">
        <f t="shared" si="7"/>
        <v>0</v>
      </c>
    </row>
    <row r="28" spans="1:51" s="418" customFormat="1" ht="15" customHeight="1" x14ac:dyDescent="0.25">
      <c r="A28" s="428"/>
      <c r="B28" s="436"/>
      <c r="C28" s="437">
        <f>Begroting!B123</f>
        <v>0</v>
      </c>
      <c r="D28" s="437">
        <f>Begroting!C123</f>
        <v>0</v>
      </c>
      <c r="E28" s="437">
        <f>Begroting!E123</f>
        <v>0</v>
      </c>
      <c r="F28" s="437">
        <f t="shared" si="4"/>
        <v>0</v>
      </c>
      <c r="G28" s="437">
        <f t="shared" si="5"/>
        <v>0</v>
      </c>
      <c r="H28" s="437">
        <f t="shared" si="8"/>
        <v>0</v>
      </c>
      <c r="I28" s="438" t="str" cm="1">
        <f t="array" ref="I28">IF($C28&gt;0,INDEX('Mijlpaal Berekening'!$C$51:$L$65,$C28,COUNTA($I$18:I$18))*Begroting!$D123,"")</f>
        <v/>
      </c>
      <c r="J28" s="438" t="str" cm="1">
        <f t="array" ref="J28">IF($C28&gt;0,INDEX('Mijlpaal Berekening'!$C$51:$L$65,$C28,COUNTA($I$18:J$18))*Begroting!$D123,"")</f>
        <v/>
      </c>
      <c r="K28" s="438" t="str" cm="1">
        <f t="array" ref="K28">IF($C28&gt;0,INDEX('Mijlpaal Berekening'!$C$51:$L$65,$C28,COUNTA($I$18:K$18))*Begroting!$D123,"")</f>
        <v/>
      </c>
      <c r="L28" s="438" t="str" cm="1">
        <f t="array" ref="L28">IF($C28&gt;0,INDEX('Mijlpaal Berekening'!$C$51:$L$65,$C28,COUNTA($I$18:L$18))*Begroting!$D123,"")</f>
        <v/>
      </c>
      <c r="M28" s="438" t="str" cm="1">
        <f t="array" ref="M28">IF($C28&gt;0,INDEX('Mijlpaal Berekening'!$C$51:$L$65,$C28,COUNTA($I$18:M$18))*Begroting!$D123,"")</f>
        <v/>
      </c>
      <c r="N28" s="438" t="str" cm="1">
        <f t="array" ref="N28">IF($C28&gt;0,INDEX('Mijlpaal Berekening'!$C$51:$L$65,$C28,COUNTA($I$18:N$18))*Begroting!$D123,"")</f>
        <v/>
      </c>
      <c r="O28" s="438" t="str" cm="1">
        <f t="array" ref="O28">IF($C28&gt;0,INDEX('Mijlpaal Berekening'!$C$51:$L$65,$C28,COUNTA($I$18:O$18))*Begroting!$D123,"")</f>
        <v/>
      </c>
      <c r="P28" s="438" t="str" cm="1">
        <f t="array" ref="P28">IF($C28&gt;0,INDEX('Mijlpaal Berekening'!$C$51:$L$65,$C28,COUNTA($I$18:P$18))*Begroting!$D123,"")</f>
        <v/>
      </c>
      <c r="R28" s="1082">
        <f>Begroting!H123</f>
        <v>0</v>
      </c>
      <c r="S28" s="417" t="str" cm="1">
        <f t="array" ref="S28">IF(AND(SUM(I28:P28&gt;0),R28=0)=TRUE,"aub invullen","")</f>
        <v/>
      </c>
      <c r="U28" s="418">
        <f t="shared" si="9"/>
        <v>0</v>
      </c>
      <c r="V28" s="418">
        <f t="shared" si="6"/>
        <v>0</v>
      </c>
      <c r="W28" s="418">
        <f t="shared" si="6"/>
        <v>0</v>
      </c>
      <c r="X28" s="418">
        <f t="shared" si="6"/>
        <v>0</v>
      </c>
      <c r="Y28" s="418">
        <f t="shared" si="6"/>
        <v>0</v>
      </c>
      <c r="Z28" s="418">
        <f t="shared" si="6"/>
        <v>0</v>
      </c>
      <c r="AA28" s="418">
        <f t="shared" si="6"/>
        <v>0</v>
      </c>
      <c r="AB28" s="418">
        <f t="shared" si="6"/>
        <v>0</v>
      </c>
      <c r="AC28" s="418">
        <f t="shared" si="6"/>
        <v>0</v>
      </c>
      <c r="AD28" s="418">
        <f t="shared" si="6"/>
        <v>0</v>
      </c>
      <c r="AE28" s="418">
        <f t="shared" si="6"/>
        <v>0</v>
      </c>
      <c r="AF28" s="418">
        <f t="shared" si="6"/>
        <v>0</v>
      </c>
      <c r="AG28" s="418">
        <f t="shared" si="6"/>
        <v>0</v>
      </c>
      <c r="AH28" s="418">
        <f t="shared" si="6"/>
        <v>0</v>
      </c>
      <c r="AI28" s="418">
        <f t="shared" si="6"/>
        <v>0</v>
      </c>
      <c r="AJ28" s="418">
        <f t="shared" si="6"/>
        <v>0</v>
      </c>
      <c r="AK28" s="418">
        <f t="shared" si="6"/>
        <v>0</v>
      </c>
      <c r="AL28" s="418">
        <f t="shared" si="7"/>
        <v>0</v>
      </c>
      <c r="AM28" s="418">
        <f t="shared" si="7"/>
        <v>0</v>
      </c>
      <c r="AN28" s="418">
        <f t="shared" si="7"/>
        <v>0</v>
      </c>
      <c r="AO28" s="418">
        <f t="shared" si="7"/>
        <v>0</v>
      </c>
      <c r="AP28" s="418">
        <f t="shared" si="7"/>
        <v>0</v>
      </c>
      <c r="AQ28" s="418">
        <f t="shared" si="7"/>
        <v>0</v>
      </c>
      <c r="AR28" s="418">
        <f t="shared" si="7"/>
        <v>0</v>
      </c>
      <c r="AS28" s="418">
        <f t="shared" si="7"/>
        <v>0</v>
      </c>
      <c r="AT28" s="418">
        <f t="shared" si="7"/>
        <v>0</v>
      </c>
      <c r="AU28" s="418">
        <f t="shared" si="7"/>
        <v>0</v>
      </c>
      <c r="AV28" s="418">
        <f t="shared" si="7"/>
        <v>0</v>
      </c>
      <c r="AW28" s="418">
        <f t="shared" si="7"/>
        <v>0</v>
      </c>
      <c r="AX28" s="418">
        <f t="shared" si="7"/>
        <v>0</v>
      </c>
      <c r="AY28" s="418">
        <f t="shared" si="7"/>
        <v>0</v>
      </c>
    </row>
    <row r="29" spans="1:51" s="418" customFormat="1" ht="15" customHeight="1" x14ac:dyDescent="0.25">
      <c r="A29" s="428"/>
      <c r="B29" s="436"/>
      <c r="C29" s="437">
        <f>Begroting!B124</f>
        <v>0</v>
      </c>
      <c r="D29" s="437">
        <f>Begroting!C124</f>
        <v>0</v>
      </c>
      <c r="E29" s="437">
        <f>Begroting!E124</f>
        <v>0</v>
      </c>
      <c r="F29" s="437">
        <f t="shared" si="4"/>
        <v>0</v>
      </c>
      <c r="G29" s="437">
        <f t="shared" si="5"/>
        <v>0</v>
      </c>
      <c r="H29" s="437">
        <f t="shared" si="8"/>
        <v>0</v>
      </c>
      <c r="I29" s="438" t="str" cm="1">
        <f t="array" ref="I29">IF($C29&gt;0,INDEX('Mijlpaal Berekening'!$C$51:$L$65,$C29,COUNTA($I$18:I$18))*Begroting!$D124,"")</f>
        <v/>
      </c>
      <c r="J29" s="438" t="str" cm="1">
        <f t="array" ref="J29">IF($C29&gt;0,INDEX('Mijlpaal Berekening'!$C$51:$L$65,$C29,COUNTA($I$18:J$18))*Begroting!$D124,"")</f>
        <v/>
      </c>
      <c r="K29" s="438" t="str" cm="1">
        <f t="array" ref="K29">IF($C29&gt;0,INDEX('Mijlpaal Berekening'!$C$51:$L$65,$C29,COUNTA($I$18:K$18))*Begroting!$D124,"")</f>
        <v/>
      </c>
      <c r="L29" s="438" t="str" cm="1">
        <f t="array" ref="L29">IF($C29&gt;0,INDEX('Mijlpaal Berekening'!$C$51:$L$65,$C29,COUNTA($I$18:L$18))*Begroting!$D124,"")</f>
        <v/>
      </c>
      <c r="M29" s="438" t="str" cm="1">
        <f t="array" ref="M29">IF($C29&gt;0,INDEX('Mijlpaal Berekening'!$C$51:$L$65,$C29,COUNTA($I$18:M$18))*Begroting!$D124,"")</f>
        <v/>
      </c>
      <c r="N29" s="438" t="str" cm="1">
        <f t="array" ref="N29">IF($C29&gt;0,INDEX('Mijlpaal Berekening'!$C$51:$L$65,$C29,COUNTA($I$18:N$18))*Begroting!$D124,"")</f>
        <v/>
      </c>
      <c r="O29" s="438" t="str" cm="1">
        <f t="array" ref="O29">IF($C29&gt;0,INDEX('Mijlpaal Berekening'!$C$51:$L$65,$C29,COUNTA($I$18:O$18))*Begroting!$D124,"")</f>
        <v/>
      </c>
      <c r="P29" s="438" t="str" cm="1">
        <f t="array" ref="P29">IF($C29&gt;0,INDEX('Mijlpaal Berekening'!$C$51:$L$65,$C29,COUNTA($I$18:P$18))*Begroting!$D124,"")</f>
        <v/>
      </c>
      <c r="R29" s="1082">
        <f>Begroting!H124</f>
        <v>0</v>
      </c>
      <c r="S29" s="417" t="str" cm="1">
        <f t="array" ref="S29">IF(AND(SUM(I29:P29&gt;0),R29=0)=TRUE,"aub invullen","")</f>
        <v/>
      </c>
      <c r="U29" s="418">
        <f t="shared" si="9"/>
        <v>0</v>
      </c>
      <c r="V29" s="418">
        <f t="shared" si="6"/>
        <v>0</v>
      </c>
      <c r="W29" s="418">
        <f t="shared" si="6"/>
        <v>0</v>
      </c>
      <c r="X29" s="418">
        <f t="shared" si="6"/>
        <v>0</v>
      </c>
      <c r="Y29" s="418">
        <f t="shared" si="6"/>
        <v>0</v>
      </c>
      <c r="Z29" s="418">
        <f t="shared" si="6"/>
        <v>0</v>
      </c>
      <c r="AA29" s="418">
        <f t="shared" si="6"/>
        <v>0</v>
      </c>
      <c r="AB29" s="418">
        <f t="shared" si="6"/>
        <v>0</v>
      </c>
      <c r="AC29" s="418">
        <f t="shared" si="6"/>
        <v>0</v>
      </c>
      <c r="AD29" s="418">
        <f t="shared" si="6"/>
        <v>0</v>
      </c>
      <c r="AE29" s="418">
        <f t="shared" si="6"/>
        <v>0</v>
      </c>
      <c r="AF29" s="418">
        <f t="shared" si="6"/>
        <v>0</v>
      </c>
      <c r="AG29" s="418">
        <f t="shared" si="6"/>
        <v>0</v>
      </c>
      <c r="AH29" s="418">
        <f t="shared" si="6"/>
        <v>0</v>
      </c>
      <c r="AI29" s="418">
        <f t="shared" si="6"/>
        <v>0</v>
      </c>
      <c r="AJ29" s="418">
        <f t="shared" si="6"/>
        <v>0</v>
      </c>
      <c r="AK29" s="418">
        <f t="shared" si="6"/>
        <v>0</v>
      </c>
      <c r="AL29" s="418">
        <f t="shared" si="7"/>
        <v>0</v>
      </c>
      <c r="AM29" s="418">
        <f t="shared" si="7"/>
        <v>0</v>
      </c>
      <c r="AN29" s="418">
        <f t="shared" si="7"/>
        <v>0</v>
      </c>
      <c r="AO29" s="418">
        <f t="shared" si="7"/>
        <v>0</v>
      </c>
      <c r="AP29" s="418">
        <f t="shared" si="7"/>
        <v>0</v>
      </c>
      <c r="AQ29" s="418">
        <f t="shared" si="7"/>
        <v>0</v>
      </c>
      <c r="AR29" s="418">
        <f t="shared" si="7"/>
        <v>0</v>
      </c>
      <c r="AS29" s="418">
        <f t="shared" si="7"/>
        <v>0</v>
      </c>
      <c r="AT29" s="418">
        <f t="shared" si="7"/>
        <v>0</v>
      </c>
      <c r="AU29" s="418">
        <f t="shared" si="7"/>
        <v>0</v>
      </c>
      <c r="AV29" s="418">
        <f t="shared" si="7"/>
        <v>0</v>
      </c>
      <c r="AW29" s="418">
        <f t="shared" si="7"/>
        <v>0</v>
      </c>
      <c r="AX29" s="418">
        <f t="shared" si="7"/>
        <v>0</v>
      </c>
      <c r="AY29" s="418">
        <f t="shared" si="7"/>
        <v>0</v>
      </c>
    </row>
    <row r="30" spans="1:51" s="418" customFormat="1" ht="15" customHeight="1" x14ac:dyDescent="0.25">
      <c r="A30" s="428"/>
      <c r="B30" s="436"/>
      <c r="C30" s="437">
        <f>Begroting!B125</f>
        <v>0</v>
      </c>
      <c r="D30" s="437">
        <f>Begroting!C125</f>
        <v>0</v>
      </c>
      <c r="E30" s="437">
        <f>Begroting!E125</f>
        <v>0</v>
      </c>
      <c r="F30" s="437">
        <f t="shared" si="4"/>
        <v>0</v>
      </c>
      <c r="G30" s="437">
        <f t="shared" si="5"/>
        <v>0</v>
      </c>
      <c r="H30" s="437">
        <f t="shared" si="8"/>
        <v>0</v>
      </c>
      <c r="I30" s="438" t="str" cm="1">
        <f t="array" ref="I30">IF($C30&gt;0,INDEX('Mijlpaal Berekening'!$C$51:$L$65,$C30,COUNTA($I$18:I$18))*Begroting!$D125,"")</f>
        <v/>
      </c>
      <c r="J30" s="438" t="str" cm="1">
        <f t="array" ref="J30">IF($C30&gt;0,INDEX('Mijlpaal Berekening'!$C$51:$L$65,$C30,COUNTA($I$18:J$18))*Begroting!$D125,"")</f>
        <v/>
      </c>
      <c r="K30" s="438" t="str" cm="1">
        <f t="array" ref="K30">IF($C30&gt;0,INDEX('Mijlpaal Berekening'!$C$51:$L$65,$C30,COUNTA($I$18:K$18))*Begroting!$D125,"")</f>
        <v/>
      </c>
      <c r="L30" s="438" t="str" cm="1">
        <f t="array" ref="L30">IF($C30&gt;0,INDEX('Mijlpaal Berekening'!$C$51:$L$65,$C30,COUNTA($I$18:L$18))*Begroting!$D125,"")</f>
        <v/>
      </c>
      <c r="M30" s="438" t="str" cm="1">
        <f t="array" ref="M30">IF($C30&gt;0,INDEX('Mijlpaal Berekening'!$C$51:$L$65,$C30,COUNTA($I$18:M$18))*Begroting!$D125,"")</f>
        <v/>
      </c>
      <c r="N30" s="438" t="str" cm="1">
        <f t="array" ref="N30">IF($C30&gt;0,INDEX('Mijlpaal Berekening'!$C$51:$L$65,$C30,COUNTA($I$18:N$18))*Begroting!$D125,"")</f>
        <v/>
      </c>
      <c r="O30" s="438" t="str" cm="1">
        <f t="array" ref="O30">IF($C30&gt;0,INDEX('Mijlpaal Berekening'!$C$51:$L$65,$C30,COUNTA($I$18:O$18))*Begroting!$D125,"")</f>
        <v/>
      </c>
      <c r="P30" s="438" t="str" cm="1">
        <f t="array" ref="P30">IF($C30&gt;0,INDEX('Mijlpaal Berekening'!$C$51:$L$65,$C30,COUNTA($I$18:P$18))*Begroting!$D125,"")</f>
        <v/>
      </c>
      <c r="R30" s="1082">
        <f>Begroting!H125</f>
        <v>0</v>
      </c>
      <c r="S30" s="417" t="str" cm="1">
        <f t="array" ref="S30">IF(AND(SUM(I30:P30&gt;0),R30=0)=TRUE,"aub invullen","")</f>
        <v/>
      </c>
      <c r="U30" s="418">
        <f t="shared" si="9"/>
        <v>0</v>
      </c>
      <c r="V30" s="418">
        <f t="shared" si="6"/>
        <v>0</v>
      </c>
      <c r="W30" s="418">
        <f t="shared" si="6"/>
        <v>0</v>
      </c>
      <c r="X30" s="418">
        <f t="shared" si="6"/>
        <v>0</v>
      </c>
      <c r="Y30" s="418">
        <f t="shared" si="6"/>
        <v>0</v>
      </c>
      <c r="Z30" s="418">
        <f t="shared" si="6"/>
        <v>0</v>
      </c>
      <c r="AA30" s="418">
        <f t="shared" si="6"/>
        <v>0</v>
      </c>
      <c r="AB30" s="418">
        <f t="shared" si="6"/>
        <v>0</v>
      </c>
      <c r="AC30" s="418">
        <f t="shared" si="6"/>
        <v>0</v>
      </c>
      <c r="AD30" s="418">
        <f t="shared" si="6"/>
        <v>0</v>
      </c>
      <c r="AE30" s="418">
        <f t="shared" si="6"/>
        <v>0</v>
      </c>
      <c r="AF30" s="418">
        <f t="shared" si="6"/>
        <v>0</v>
      </c>
      <c r="AG30" s="418">
        <f t="shared" si="6"/>
        <v>0</v>
      </c>
      <c r="AH30" s="418">
        <f t="shared" si="6"/>
        <v>0</v>
      </c>
      <c r="AI30" s="418">
        <f t="shared" si="6"/>
        <v>0</v>
      </c>
      <c r="AJ30" s="418">
        <f t="shared" si="6"/>
        <v>0</v>
      </c>
      <c r="AK30" s="418">
        <f t="shared" si="6"/>
        <v>0</v>
      </c>
      <c r="AL30" s="418">
        <f t="shared" si="7"/>
        <v>0</v>
      </c>
      <c r="AM30" s="418">
        <f t="shared" si="7"/>
        <v>0</v>
      </c>
      <c r="AN30" s="418">
        <f t="shared" si="7"/>
        <v>0</v>
      </c>
      <c r="AO30" s="418">
        <f t="shared" si="7"/>
        <v>0</v>
      </c>
      <c r="AP30" s="418">
        <f t="shared" si="7"/>
        <v>0</v>
      </c>
      <c r="AQ30" s="418">
        <f t="shared" si="7"/>
        <v>0</v>
      </c>
      <c r="AR30" s="418">
        <f t="shared" si="7"/>
        <v>0</v>
      </c>
      <c r="AS30" s="418">
        <f t="shared" si="7"/>
        <v>0</v>
      </c>
      <c r="AT30" s="418">
        <f t="shared" si="7"/>
        <v>0</v>
      </c>
      <c r="AU30" s="418">
        <f t="shared" si="7"/>
        <v>0</v>
      </c>
      <c r="AV30" s="418">
        <f t="shared" si="7"/>
        <v>0</v>
      </c>
      <c r="AW30" s="418">
        <f t="shared" si="7"/>
        <v>0</v>
      </c>
      <c r="AX30" s="418">
        <f t="shared" si="7"/>
        <v>0</v>
      </c>
      <c r="AY30" s="418">
        <f t="shared" si="7"/>
        <v>0</v>
      </c>
    </row>
    <row r="31" spans="1:51" s="418" customFormat="1" ht="15" customHeight="1" x14ac:dyDescent="0.25">
      <c r="A31" s="428"/>
      <c r="B31" s="436"/>
      <c r="C31" s="437">
        <f>Begroting!B126</f>
        <v>0</v>
      </c>
      <c r="D31" s="437">
        <f>Begroting!C126</f>
        <v>0</v>
      </c>
      <c r="E31" s="437">
        <f>Begroting!E126</f>
        <v>0</v>
      </c>
      <c r="F31" s="437">
        <f t="shared" si="4"/>
        <v>0</v>
      </c>
      <c r="G31" s="437">
        <f t="shared" si="5"/>
        <v>0</v>
      </c>
      <c r="H31" s="437">
        <f t="shared" si="8"/>
        <v>0</v>
      </c>
      <c r="I31" s="438" t="str" cm="1">
        <f t="array" ref="I31">IF($C31&gt;0,INDEX('Mijlpaal Berekening'!$C$51:$L$65,$C31,COUNTA($I$18:I$18))*Begroting!$D126,"")</f>
        <v/>
      </c>
      <c r="J31" s="438" t="str" cm="1">
        <f t="array" ref="J31">IF($C31&gt;0,INDEX('Mijlpaal Berekening'!$C$51:$L$65,$C31,COUNTA($I$18:J$18))*Begroting!$D126,"")</f>
        <v/>
      </c>
      <c r="K31" s="438" t="str" cm="1">
        <f t="array" ref="K31">IF($C31&gt;0,INDEX('Mijlpaal Berekening'!$C$51:$L$65,$C31,COUNTA($I$18:K$18))*Begroting!$D126,"")</f>
        <v/>
      </c>
      <c r="L31" s="438" t="str" cm="1">
        <f t="array" ref="L31">IF($C31&gt;0,INDEX('Mijlpaal Berekening'!$C$51:$L$65,$C31,COUNTA($I$18:L$18))*Begroting!$D126,"")</f>
        <v/>
      </c>
      <c r="M31" s="438" t="str" cm="1">
        <f t="array" ref="M31">IF($C31&gt;0,INDEX('Mijlpaal Berekening'!$C$51:$L$65,$C31,COUNTA($I$18:M$18))*Begroting!$D126,"")</f>
        <v/>
      </c>
      <c r="N31" s="438" t="str" cm="1">
        <f t="array" ref="N31">IF($C31&gt;0,INDEX('Mijlpaal Berekening'!$C$51:$L$65,$C31,COUNTA($I$18:N$18))*Begroting!$D126,"")</f>
        <v/>
      </c>
      <c r="O31" s="438" t="str" cm="1">
        <f t="array" ref="O31">IF($C31&gt;0,INDEX('Mijlpaal Berekening'!$C$51:$L$65,$C31,COUNTA($I$18:O$18))*Begroting!$D126,"")</f>
        <v/>
      </c>
      <c r="P31" s="438" t="str" cm="1">
        <f t="array" ref="P31">IF($C31&gt;0,INDEX('Mijlpaal Berekening'!$C$51:$L$65,$C31,COUNTA($I$18:P$18))*Begroting!$D126,"")</f>
        <v/>
      </c>
      <c r="R31" s="1082">
        <f>Begroting!H126</f>
        <v>0</v>
      </c>
      <c r="S31" s="417" t="str" cm="1">
        <f t="array" ref="S31">IF(AND(SUM(I31:P31&gt;0),R31=0)=TRUE,"aub invullen","")</f>
        <v/>
      </c>
      <c r="U31" s="418">
        <f t="shared" si="9"/>
        <v>0</v>
      </c>
      <c r="V31" s="418">
        <f t="shared" si="6"/>
        <v>0</v>
      </c>
      <c r="W31" s="418">
        <f t="shared" si="6"/>
        <v>0</v>
      </c>
      <c r="X31" s="418">
        <f t="shared" si="6"/>
        <v>0</v>
      </c>
      <c r="Y31" s="418">
        <f t="shared" si="6"/>
        <v>0</v>
      </c>
      <c r="Z31" s="418">
        <f t="shared" si="6"/>
        <v>0</v>
      </c>
      <c r="AA31" s="418">
        <f t="shared" si="6"/>
        <v>0</v>
      </c>
      <c r="AB31" s="418">
        <f t="shared" si="6"/>
        <v>0</v>
      </c>
      <c r="AC31" s="418">
        <f t="shared" si="6"/>
        <v>0</v>
      </c>
      <c r="AD31" s="418">
        <f t="shared" si="6"/>
        <v>0</v>
      </c>
      <c r="AE31" s="418">
        <f t="shared" si="6"/>
        <v>0</v>
      </c>
      <c r="AF31" s="418">
        <f t="shared" si="6"/>
        <v>0</v>
      </c>
      <c r="AG31" s="418">
        <f t="shared" si="6"/>
        <v>0</v>
      </c>
      <c r="AH31" s="418">
        <f t="shared" si="6"/>
        <v>0</v>
      </c>
      <c r="AI31" s="418">
        <f t="shared" si="6"/>
        <v>0</v>
      </c>
      <c r="AJ31" s="418">
        <f t="shared" si="6"/>
        <v>0</v>
      </c>
      <c r="AK31" s="418">
        <f t="shared" si="6"/>
        <v>0</v>
      </c>
      <c r="AL31" s="418">
        <f t="shared" si="7"/>
        <v>0</v>
      </c>
      <c r="AM31" s="418">
        <f t="shared" si="7"/>
        <v>0</v>
      </c>
      <c r="AN31" s="418">
        <f t="shared" si="7"/>
        <v>0</v>
      </c>
      <c r="AO31" s="418">
        <f t="shared" si="7"/>
        <v>0</v>
      </c>
      <c r="AP31" s="418">
        <f t="shared" si="7"/>
        <v>0</v>
      </c>
      <c r="AQ31" s="418">
        <f t="shared" si="7"/>
        <v>0</v>
      </c>
      <c r="AR31" s="418">
        <f t="shared" si="7"/>
        <v>0</v>
      </c>
      <c r="AS31" s="418">
        <f t="shared" si="7"/>
        <v>0</v>
      </c>
      <c r="AT31" s="418">
        <f t="shared" si="7"/>
        <v>0</v>
      </c>
      <c r="AU31" s="418">
        <f t="shared" si="7"/>
        <v>0</v>
      </c>
      <c r="AV31" s="418">
        <f t="shared" si="7"/>
        <v>0</v>
      </c>
      <c r="AW31" s="418">
        <f t="shared" si="7"/>
        <v>0</v>
      </c>
      <c r="AX31" s="418">
        <f t="shared" si="7"/>
        <v>0</v>
      </c>
      <c r="AY31" s="418">
        <f t="shared" si="7"/>
        <v>0</v>
      </c>
    </row>
    <row r="32" spans="1:51" s="418" customFormat="1" ht="15" customHeight="1" x14ac:dyDescent="0.25">
      <c r="A32" s="428"/>
      <c r="B32" s="436"/>
      <c r="C32" s="437">
        <f>Begroting!B127</f>
        <v>0</v>
      </c>
      <c r="D32" s="437">
        <f>Begroting!C127</f>
        <v>0</v>
      </c>
      <c r="E32" s="437">
        <f>Begroting!E127</f>
        <v>0</v>
      </c>
      <c r="F32" s="437">
        <f t="shared" si="4"/>
        <v>0</v>
      </c>
      <c r="G32" s="437">
        <f t="shared" si="5"/>
        <v>0</v>
      </c>
      <c r="H32" s="437">
        <f t="shared" si="8"/>
        <v>0</v>
      </c>
      <c r="I32" s="438" t="str" cm="1">
        <f t="array" ref="I32">IF($C32&gt;0,INDEX('Mijlpaal Berekening'!$C$51:$L$65,$C32,COUNTA($I$18:I$18))*Begroting!$D127,"")</f>
        <v/>
      </c>
      <c r="J32" s="438" t="str" cm="1">
        <f t="array" ref="J32">IF($C32&gt;0,INDEX('Mijlpaal Berekening'!$C$51:$L$65,$C32,COUNTA($I$18:J$18))*Begroting!$D127,"")</f>
        <v/>
      </c>
      <c r="K32" s="438" t="str" cm="1">
        <f t="array" ref="K32">IF($C32&gt;0,INDEX('Mijlpaal Berekening'!$C$51:$L$65,$C32,COUNTA($I$18:K$18))*Begroting!$D127,"")</f>
        <v/>
      </c>
      <c r="L32" s="438" t="str" cm="1">
        <f t="array" ref="L32">IF($C32&gt;0,INDEX('Mijlpaal Berekening'!$C$51:$L$65,$C32,COUNTA($I$18:L$18))*Begroting!$D127,"")</f>
        <v/>
      </c>
      <c r="M32" s="438" t="str" cm="1">
        <f t="array" ref="M32">IF($C32&gt;0,INDEX('Mijlpaal Berekening'!$C$51:$L$65,$C32,COUNTA($I$18:M$18))*Begroting!$D127,"")</f>
        <v/>
      </c>
      <c r="N32" s="438" t="str" cm="1">
        <f t="array" ref="N32">IF($C32&gt;0,INDEX('Mijlpaal Berekening'!$C$51:$L$65,$C32,COUNTA($I$18:N$18))*Begroting!$D127,"")</f>
        <v/>
      </c>
      <c r="O32" s="438" t="str" cm="1">
        <f t="array" ref="O32">IF($C32&gt;0,INDEX('Mijlpaal Berekening'!$C$51:$L$65,$C32,COUNTA($I$18:O$18))*Begroting!$D127,"")</f>
        <v/>
      </c>
      <c r="P32" s="438" t="str" cm="1">
        <f t="array" ref="P32">IF($C32&gt;0,INDEX('Mijlpaal Berekening'!$C$51:$L$65,$C32,COUNTA($I$18:P$18))*Begroting!$D127,"")</f>
        <v/>
      </c>
      <c r="R32" s="1082">
        <f>Begroting!H127</f>
        <v>0</v>
      </c>
      <c r="S32" s="417"/>
      <c r="U32" s="418">
        <f t="shared" si="9"/>
        <v>0</v>
      </c>
      <c r="V32" s="418">
        <f t="shared" si="6"/>
        <v>0</v>
      </c>
      <c r="W32" s="418">
        <f t="shared" si="6"/>
        <v>0</v>
      </c>
      <c r="X32" s="418">
        <f t="shared" si="6"/>
        <v>0</v>
      </c>
      <c r="Y32" s="418">
        <f t="shared" si="6"/>
        <v>0</v>
      </c>
      <c r="Z32" s="418">
        <f t="shared" si="6"/>
        <v>0</v>
      </c>
      <c r="AA32" s="418">
        <f t="shared" si="6"/>
        <v>0</v>
      </c>
      <c r="AB32" s="418">
        <f t="shared" si="6"/>
        <v>0</v>
      </c>
      <c r="AC32" s="418">
        <f t="shared" si="6"/>
        <v>0</v>
      </c>
      <c r="AD32" s="418">
        <f t="shared" si="6"/>
        <v>0</v>
      </c>
      <c r="AE32" s="418">
        <f t="shared" si="6"/>
        <v>0</v>
      </c>
      <c r="AF32" s="418">
        <f t="shared" si="6"/>
        <v>0</v>
      </c>
      <c r="AG32" s="418">
        <f t="shared" si="6"/>
        <v>0</v>
      </c>
      <c r="AH32" s="418">
        <f t="shared" si="6"/>
        <v>0</v>
      </c>
      <c r="AI32" s="418">
        <f t="shared" si="6"/>
        <v>0</v>
      </c>
      <c r="AJ32" s="418">
        <f t="shared" si="6"/>
        <v>0</v>
      </c>
      <c r="AK32" s="418">
        <f t="shared" si="6"/>
        <v>0</v>
      </c>
      <c r="AL32" s="418">
        <f t="shared" si="7"/>
        <v>0</v>
      </c>
      <c r="AM32" s="418">
        <f t="shared" si="7"/>
        <v>0</v>
      </c>
      <c r="AN32" s="418">
        <f t="shared" si="7"/>
        <v>0</v>
      </c>
      <c r="AO32" s="418">
        <f t="shared" si="7"/>
        <v>0</v>
      </c>
      <c r="AP32" s="418">
        <f t="shared" si="7"/>
        <v>0</v>
      </c>
      <c r="AQ32" s="418">
        <f t="shared" si="7"/>
        <v>0</v>
      </c>
      <c r="AR32" s="418">
        <f t="shared" si="7"/>
        <v>0</v>
      </c>
      <c r="AS32" s="418">
        <f t="shared" si="7"/>
        <v>0</v>
      </c>
      <c r="AT32" s="418">
        <f t="shared" si="7"/>
        <v>0</v>
      </c>
      <c r="AU32" s="418">
        <f t="shared" si="7"/>
        <v>0</v>
      </c>
      <c r="AV32" s="418">
        <f t="shared" si="7"/>
        <v>0</v>
      </c>
      <c r="AW32" s="418">
        <f t="shared" si="7"/>
        <v>0</v>
      </c>
      <c r="AX32" s="418">
        <f t="shared" si="7"/>
        <v>0</v>
      </c>
      <c r="AY32" s="418">
        <f t="shared" si="7"/>
        <v>0</v>
      </c>
    </row>
    <row r="33" spans="1:51" s="418" customFormat="1" ht="15" customHeight="1" x14ac:dyDescent="0.25">
      <c r="A33" s="428"/>
      <c r="B33" s="436"/>
      <c r="C33" s="437">
        <f>Begroting!B128</f>
        <v>0</v>
      </c>
      <c r="D33" s="437">
        <f>Begroting!C128</f>
        <v>0</v>
      </c>
      <c r="E33" s="437">
        <f>Begroting!E128</f>
        <v>0</v>
      </c>
      <c r="F33" s="437">
        <f t="shared" si="4"/>
        <v>0</v>
      </c>
      <c r="G33" s="437">
        <f t="shared" si="5"/>
        <v>0</v>
      </c>
      <c r="H33" s="437">
        <f t="shared" si="8"/>
        <v>0</v>
      </c>
      <c r="I33" s="438" t="str" cm="1">
        <f t="array" ref="I33">IF($C33&gt;0,INDEX('Mijlpaal Berekening'!$C$51:$L$65,$C33,COUNTA($I$18:I$18))*Begroting!$D128,"")</f>
        <v/>
      </c>
      <c r="J33" s="438" t="str" cm="1">
        <f t="array" ref="J33">IF($C33&gt;0,INDEX('Mijlpaal Berekening'!$C$51:$L$65,$C33,COUNTA($I$18:J$18))*Begroting!$D128,"")</f>
        <v/>
      </c>
      <c r="K33" s="438" t="str" cm="1">
        <f t="array" ref="K33">IF($C33&gt;0,INDEX('Mijlpaal Berekening'!$C$51:$L$65,$C33,COUNTA($I$18:K$18))*Begroting!$D128,"")</f>
        <v/>
      </c>
      <c r="L33" s="438" t="str" cm="1">
        <f t="array" ref="L33">IF($C33&gt;0,INDEX('Mijlpaal Berekening'!$C$51:$L$65,$C33,COUNTA($I$18:L$18))*Begroting!$D128,"")</f>
        <v/>
      </c>
      <c r="M33" s="438" t="str" cm="1">
        <f t="array" ref="M33">IF($C33&gt;0,INDEX('Mijlpaal Berekening'!$C$51:$L$65,$C33,COUNTA($I$18:M$18))*Begroting!$D128,"")</f>
        <v/>
      </c>
      <c r="N33" s="438" t="str" cm="1">
        <f t="array" ref="N33">IF($C33&gt;0,INDEX('Mijlpaal Berekening'!$C$51:$L$65,$C33,COUNTA($I$18:N$18))*Begroting!$D128,"")</f>
        <v/>
      </c>
      <c r="O33" s="438" t="str" cm="1">
        <f t="array" ref="O33">IF($C33&gt;0,INDEX('Mijlpaal Berekening'!$C$51:$L$65,$C33,COUNTA($I$18:O$18))*Begroting!$D128,"")</f>
        <v/>
      </c>
      <c r="P33" s="438" t="str" cm="1">
        <f t="array" ref="P33">IF($C33&gt;0,INDEX('Mijlpaal Berekening'!$C$51:$L$65,$C33,COUNTA($I$18:P$18))*Begroting!$D128,"")</f>
        <v/>
      </c>
      <c r="R33" s="1082">
        <f>Begroting!H128</f>
        <v>0</v>
      </c>
      <c r="S33" s="417"/>
      <c r="U33" s="418">
        <f t="shared" si="9"/>
        <v>0</v>
      </c>
      <c r="V33" s="418">
        <f t="shared" si="6"/>
        <v>0</v>
      </c>
      <c r="W33" s="418">
        <f t="shared" si="6"/>
        <v>0</v>
      </c>
      <c r="X33" s="418">
        <f t="shared" si="6"/>
        <v>0</v>
      </c>
      <c r="Y33" s="418">
        <f t="shared" si="6"/>
        <v>0</v>
      </c>
      <c r="Z33" s="418">
        <f t="shared" si="6"/>
        <v>0</v>
      </c>
      <c r="AA33" s="418">
        <f t="shared" si="6"/>
        <v>0</v>
      </c>
      <c r="AB33" s="418">
        <f t="shared" si="6"/>
        <v>0</v>
      </c>
      <c r="AC33" s="418">
        <f t="shared" si="6"/>
        <v>0</v>
      </c>
      <c r="AD33" s="418">
        <f t="shared" si="6"/>
        <v>0</v>
      </c>
      <c r="AE33" s="418">
        <f t="shared" si="6"/>
        <v>0</v>
      </c>
      <c r="AF33" s="418">
        <f t="shared" si="6"/>
        <v>0</v>
      </c>
      <c r="AG33" s="418">
        <f t="shared" si="6"/>
        <v>0</v>
      </c>
      <c r="AH33" s="418">
        <f t="shared" si="6"/>
        <v>0</v>
      </c>
      <c r="AI33" s="418">
        <f t="shared" si="6"/>
        <v>0</v>
      </c>
      <c r="AJ33" s="418">
        <f t="shared" si="6"/>
        <v>0</v>
      </c>
      <c r="AK33" s="418">
        <f t="shared" si="6"/>
        <v>0</v>
      </c>
      <c r="AL33" s="418">
        <f t="shared" si="7"/>
        <v>0</v>
      </c>
      <c r="AM33" s="418">
        <f t="shared" si="7"/>
        <v>0</v>
      </c>
      <c r="AN33" s="418">
        <f t="shared" si="7"/>
        <v>0</v>
      </c>
      <c r="AO33" s="418">
        <f t="shared" si="7"/>
        <v>0</v>
      </c>
      <c r="AP33" s="418">
        <f t="shared" si="7"/>
        <v>0</v>
      </c>
      <c r="AQ33" s="418">
        <f t="shared" si="7"/>
        <v>0</v>
      </c>
      <c r="AR33" s="418">
        <f t="shared" si="7"/>
        <v>0</v>
      </c>
      <c r="AS33" s="418">
        <f t="shared" si="7"/>
        <v>0</v>
      </c>
      <c r="AT33" s="418">
        <f t="shared" si="7"/>
        <v>0</v>
      </c>
      <c r="AU33" s="418">
        <f t="shared" si="7"/>
        <v>0</v>
      </c>
      <c r="AV33" s="418">
        <f t="shared" si="7"/>
        <v>0</v>
      </c>
      <c r="AW33" s="418">
        <f t="shared" si="7"/>
        <v>0</v>
      </c>
      <c r="AX33" s="418">
        <f t="shared" si="7"/>
        <v>0</v>
      </c>
      <c r="AY33" s="418">
        <f t="shared" si="7"/>
        <v>0</v>
      </c>
    </row>
    <row r="34" spans="1:51" s="418" customFormat="1" ht="15" customHeight="1" x14ac:dyDescent="0.25">
      <c r="A34" s="428"/>
      <c r="B34" s="436"/>
      <c r="C34" s="437">
        <f>Begroting!B129</f>
        <v>0</v>
      </c>
      <c r="D34" s="437">
        <f>Begroting!C129</f>
        <v>0</v>
      </c>
      <c r="E34" s="437">
        <f>Begroting!E129</f>
        <v>0</v>
      </c>
      <c r="F34" s="437">
        <f t="shared" si="4"/>
        <v>0</v>
      </c>
      <c r="G34" s="437">
        <f t="shared" si="5"/>
        <v>0</v>
      </c>
      <c r="H34" s="437">
        <f t="shared" si="8"/>
        <v>0</v>
      </c>
      <c r="I34" s="438" t="str" cm="1">
        <f t="array" ref="I34">IF($C34&gt;0,INDEX('Mijlpaal Berekening'!$C$51:$L$65,$C34,COUNTA($I$18:I$18))*Begroting!$D129,"")</f>
        <v/>
      </c>
      <c r="J34" s="438" t="str" cm="1">
        <f t="array" ref="J34">IF($C34&gt;0,INDEX('Mijlpaal Berekening'!$C$51:$L$65,$C34,COUNTA($I$18:J$18))*Begroting!$D129,"")</f>
        <v/>
      </c>
      <c r="K34" s="438" t="str" cm="1">
        <f t="array" ref="K34">IF($C34&gt;0,INDEX('Mijlpaal Berekening'!$C$51:$L$65,$C34,COUNTA($I$18:K$18))*Begroting!$D129,"")</f>
        <v/>
      </c>
      <c r="L34" s="438" t="str" cm="1">
        <f t="array" ref="L34">IF($C34&gt;0,INDEX('Mijlpaal Berekening'!$C$51:$L$65,$C34,COUNTA($I$18:L$18))*Begroting!$D129,"")</f>
        <v/>
      </c>
      <c r="M34" s="438" t="str" cm="1">
        <f t="array" ref="M34">IF($C34&gt;0,INDEX('Mijlpaal Berekening'!$C$51:$L$65,$C34,COUNTA($I$18:M$18))*Begroting!$D129,"")</f>
        <v/>
      </c>
      <c r="N34" s="438" t="str" cm="1">
        <f t="array" ref="N34">IF($C34&gt;0,INDEX('Mijlpaal Berekening'!$C$51:$L$65,$C34,COUNTA($I$18:N$18))*Begroting!$D129,"")</f>
        <v/>
      </c>
      <c r="O34" s="438" t="str" cm="1">
        <f t="array" ref="O34">IF($C34&gt;0,INDEX('Mijlpaal Berekening'!$C$51:$L$65,$C34,COUNTA($I$18:O$18))*Begroting!$D129,"")</f>
        <v/>
      </c>
      <c r="P34" s="438" t="str" cm="1">
        <f t="array" ref="P34">IF($C34&gt;0,INDEX('Mijlpaal Berekening'!$C$51:$L$65,$C34,COUNTA($I$18:P$18))*Begroting!$D129,"")</f>
        <v/>
      </c>
      <c r="R34" s="1082">
        <f>Begroting!H129</f>
        <v>0</v>
      </c>
      <c r="S34" s="417"/>
      <c r="U34" s="418">
        <f t="shared" si="9"/>
        <v>0</v>
      </c>
      <c r="V34" s="418">
        <f t="shared" si="6"/>
        <v>0</v>
      </c>
      <c r="W34" s="418">
        <f t="shared" si="6"/>
        <v>0</v>
      </c>
      <c r="X34" s="418">
        <f t="shared" si="6"/>
        <v>0</v>
      </c>
      <c r="Y34" s="418">
        <f t="shared" si="6"/>
        <v>0</v>
      </c>
      <c r="Z34" s="418">
        <f t="shared" si="6"/>
        <v>0</v>
      </c>
      <c r="AA34" s="418">
        <f t="shared" si="6"/>
        <v>0</v>
      </c>
      <c r="AB34" s="418">
        <f>SUMIFS($I34:$P34,$I$18:$P$18,"&lt;="&amp;AB$18)</f>
        <v>0</v>
      </c>
      <c r="AC34" s="418">
        <f t="shared" si="6"/>
        <v>0</v>
      </c>
      <c r="AD34" s="418">
        <f t="shared" si="6"/>
        <v>0</v>
      </c>
      <c r="AE34" s="418">
        <f t="shared" si="6"/>
        <v>0</v>
      </c>
      <c r="AF34" s="418">
        <f t="shared" si="6"/>
        <v>0</v>
      </c>
      <c r="AG34" s="418">
        <f t="shared" si="6"/>
        <v>0</v>
      </c>
      <c r="AH34" s="418">
        <f t="shared" si="6"/>
        <v>0</v>
      </c>
      <c r="AI34" s="418">
        <f t="shared" si="6"/>
        <v>0</v>
      </c>
      <c r="AJ34" s="418">
        <f t="shared" si="6"/>
        <v>0</v>
      </c>
      <c r="AK34" s="418">
        <f t="shared" si="6"/>
        <v>0</v>
      </c>
      <c r="AL34" s="418">
        <f t="shared" si="7"/>
        <v>0</v>
      </c>
      <c r="AM34" s="418">
        <f t="shared" si="7"/>
        <v>0</v>
      </c>
      <c r="AN34" s="418">
        <f t="shared" si="7"/>
        <v>0</v>
      </c>
      <c r="AO34" s="418">
        <f t="shared" si="7"/>
        <v>0</v>
      </c>
      <c r="AP34" s="418">
        <f t="shared" si="7"/>
        <v>0</v>
      </c>
      <c r="AQ34" s="418">
        <f t="shared" si="7"/>
        <v>0</v>
      </c>
      <c r="AR34" s="418">
        <f t="shared" si="7"/>
        <v>0</v>
      </c>
      <c r="AS34" s="418">
        <f t="shared" si="7"/>
        <v>0</v>
      </c>
      <c r="AT34" s="418">
        <f t="shared" si="7"/>
        <v>0</v>
      </c>
      <c r="AU34" s="418">
        <f t="shared" si="7"/>
        <v>0</v>
      </c>
      <c r="AV34" s="418">
        <f t="shared" si="7"/>
        <v>0</v>
      </c>
      <c r="AW34" s="418">
        <f t="shared" si="7"/>
        <v>0</v>
      </c>
      <c r="AX34" s="418">
        <f t="shared" si="7"/>
        <v>0</v>
      </c>
      <c r="AY34" s="418">
        <f t="shared" si="7"/>
        <v>0</v>
      </c>
    </row>
    <row r="35" spans="1:51" s="418" customFormat="1" ht="15" customHeight="1" x14ac:dyDescent="0.25">
      <c r="A35" s="428"/>
      <c r="B35" s="436"/>
      <c r="C35" s="437">
        <f>Begroting!B130</f>
        <v>0</v>
      </c>
      <c r="D35" s="437">
        <f>Begroting!C130</f>
        <v>0</v>
      </c>
      <c r="E35" s="437">
        <f>Begroting!E130</f>
        <v>0</v>
      </c>
      <c r="F35" s="437">
        <f t="shared" si="4"/>
        <v>0</v>
      </c>
      <c r="G35" s="437">
        <f t="shared" si="5"/>
        <v>0</v>
      </c>
      <c r="H35" s="437">
        <f t="shared" si="8"/>
        <v>0</v>
      </c>
      <c r="I35" s="438" t="str" cm="1">
        <f t="array" ref="I35">IF($C35&gt;0,INDEX('Mijlpaal Berekening'!$C$51:$L$65,$C35,COUNTA($I$18:I$18))*Begroting!$D130,"")</f>
        <v/>
      </c>
      <c r="J35" s="438" t="str" cm="1">
        <f t="array" ref="J35">IF($C35&gt;0,INDEX('Mijlpaal Berekening'!$C$51:$L$65,$C35,COUNTA($I$18:J$18))*Begroting!$D130,"")</f>
        <v/>
      </c>
      <c r="K35" s="438" t="str" cm="1">
        <f t="array" ref="K35">IF($C35&gt;0,INDEX('Mijlpaal Berekening'!$C$51:$L$65,$C35,COUNTA($I$18:K$18))*Begroting!$D130,"")</f>
        <v/>
      </c>
      <c r="L35" s="438" t="str" cm="1">
        <f t="array" ref="L35">IF($C35&gt;0,INDEX('Mijlpaal Berekening'!$C$51:$L$65,$C35,COUNTA($I$18:L$18))*Begroting!$D130,"")</f>
        <v/>
      </c>
      <c r="M35" s="438" t="str" cm="1">
        <f t="array" ref="M35">IF($C35&gt;0,INDEX('Mijlpaal Berekening'!$C$51:$L$65,$C35,COUNTA($I$18:M$18))*Begroting!$D130,"")</f>
        <v/>
      </c>
      <c r="N35" s="438" t="str" cm="1">
        <f t="array" ref="N35">IF($C35&gt;0,INDEX('Mijlpaal Berekening'!$C$51:$L$65,$C35,COUNTA($I$18:N$18))*Begroting!$D130,"")</f>
        <v/>
      </c>
      <c r="O35" s="438" t="str" cm="1">
        <f t="array" ref="O35">IF($C35&gt;0,INDEX('Mijlpaal Berekening'!$C$51:$L$65,$C35,COUNTA($I$18:O$18))*Begroting!$D130,"")</f>
        <v/>
      </c>
      <c r="P35" s="438" t="str" cm="1">
        <f t="array" ref="P35">IF($C35&gt;0,INDEX('Mijlpaal Berekening'!$C$51:$L$65,$C35,COUNTA($I$18:P$18))*Begroting!$D130,"")</f>
        <v/>
      </c>
      <c r="R35" s="1082">
        <f>Begroting!H130</f>
        <v>0</v>
      </c>
      <c r="S35" s="417"/>
      <c r="U35" s="418">
        <f t="shared" si="9"/>
        <v>0</v>
      </c>
      <c r="V35" s="418">
        <f t="shared" si="6"/>
        <v>0</v>
      </c>
      <c r="W35" s="418">
        <f t="shared" si="6"/>
        <v>0</v>
      </c>
      <c r="X35" s="418">
        <f t="shared" si="6"/>
        <v>0</v>
      </c>
      <c r="Y35" s="418">
        <f t="shared" si="6"/>
        <v>0</v>
      </c>
      <c r="Z35" s="418">
        <f t="shared" si="6"/>
        <v>0</v>
      </c>
      <c r="AA35" s="418">
        <f t="shared" si="6"/>
        <v>0</v>
      </c>
      <c r="AB35" s="418">
        <f t="shared" si="6"/>
        <v>0</v>
      </c>
      <c r="AC35" s="418">
        <f t="shared" si="6"/>
        <v>0</v>
      </c>
      <c r="AD35" s="418">
        <f t="shared" si="6"/>
        <v>0</v>
      </c>
      <c r="AE35" s="418">
        <f t="shared" si="6"/>
        <v>0</v>
      </c>
      <c r="AF35" s="418">
        <f t="shared" si="6"/>
        <v>0</v>
      </c>
      <c r="AG35" s="418">
        <f t="shared" si="6"/>
        <v>0</v>
      </c>
      <c r="AH35" s="418">
        <f t="shared" si="6"/>
        <v>0</v>
      </c>
      <c r="AI35" s="418">
        <f t="shared" si="6"/>
        <v>0</v>
      </c>
      <c r="AJ35" s="418">
        <f t="shared" si="6"/>
        <v>0</v>
      </c>
      <c r="AK35" s="418">
        <f t="shared" ref="AK35:AY49" si="10">SUMIFS($I35:$P35,$I$18:$P$18,"&lt;="&amp;AK$18)</f>
        <v>0</v>
      </c>
      <c r="AL35" s="418">
        <f t="shared" si="7"/>
        <v>0</v>
      </c>
      <c r="AM35" s="418">
        <f t="shared" si="7"/>
        <v>0</v>
      </c>
      <c r="AN35" s="418">
        <f t="shared" si="7"/>
        <v>0</v>
      </c>
      <c r="AO35" s="418">
        <f t="shared" si="7"/>
        <v>0</v>
      </c>
      <c r="AP35" s="418">
        <f t="shared" si="7"/>
        <v>0</v>
      </c>
      <c r="AQ35" s="418">
        <f t="shared" si="7"/>
        <v>0</v>
      </c>
      <c r="AR35" s="418">
        <f t="shared" si="7"/>
        <v>0</v>
      </c>
      <c r="AS35" s="418">
        <f t="shared" si="7"/>
        <v>0</v>
      </c>
      <c r="AT35" s="418">
        <f t="shared" si="7"/>
        <v>0</v>
      </c>
      <c r="AU35" s="418">
        <f t="shared" si="7"/>
        <v>0</v>
      </c>
      <c r="AV35" s="418">
        <f t="shared" si="7"/>
        <v>0</v>
      </c>
      <c r="AW35" s="418">
        <f t="shared" si="7"/>
        <v>0</v>
      </c>
      <c r="AX35" s="418">
        <f t="shared" si="7"/>
        <v>0</v>
      </c>
      <c r="AY35" s="418">
        <f t="shared" si="7"/>
        <v>0</v>
      </c>
    </row>
    <row r="36" spans="1:51" s="418" customFormat="1" ht="15" customHeight="1" x14ac:dyDescent="0.25">
      <c r="A36" s="428"/>
      <c r="B36" s="436"/>
      <c r="C36" s="437">
        <f>Begroting!B131</f>
        <v>0</v>
      </c>
      <c r="D36" s="437">
        <f>Begroting!C131</f>
        <v>0</v>
      </c>
      <c r="E36" s="437">
        <f>Begroting!E131</f>
        <v>0</v>
      </c>
      <c r="F36" s="437">
        <f t="shared" si="4"/>
        <v>0</v>
      </c>
      <c r="G36" s="437">
        <f t="shared" si="5"/>
        <v>0</v>
      </c>
      <c r="H36" s="437">
        <f t="shared" si="8"/>
        <v>0</v>
      </c>
      <c r="I36" s="438" t="str" cm="1">
        <f t="array" ref="I36">IF($C36&gt;0,INDEX('Mijlpaal Berekening'!$C$51:$L$65,$C36,COUNTA($I$18:I$18))*Begroting!$D131,"")</f>
        <v/>
      </c>
      <c r="J36" s="438" t="str" cm="1">
        <f t="array" ref="J36">IF($C36&gt;0,INDEX('Mijlpaal Berekening'!$C$51:$L$65,$C36,COUNTA($I$18:J$18))*Begroting!$D131,"")</f>
        <v/>
      </c>
      <c r="K36" s="438" t="str" cm="1">
        <f t="array" ref="K36">IF($C36&gt;0,INDEX('Mijlpaal Berekening'!$C$51:$L$65,$C36,COUNTA($I$18:K$18))*Begroting!$D131,"")</f>
        <v/>
      </c>
      <c r="L36" s="438" t="str" cm="1">
        <f t="array" ref="L36">IF($C36&gt;0,INDEX('Mijlpaal Berekening'!$C$51:$L$65,$C36,COUNTA($I$18:L$18))*Begroting!$D131,"")</f>
        <v/>
      </c>
      <c r="M36" s="438" t="str" cm="1">
        <f t="array" ref="M36">IF($C36&gt;0,INDEX('Mijlpaal Berekening'!$C$51:$L$65,$C36,COUNTA($I$18:M$18))*Begroting!$D131,"")</f>
        <v/>
      </c>
      <c r="N36" s="438" t="str" cm="1">
        <f t="array" ref="N36">IF($C36&gt;0,INDEX('Mijlpaal Berekening'!$C$51:$L$65,$C36,COUNTA($I$18:N$18))*Begroting!$D131,"")</f>
        <v/>
      </c>
      <c r="O36" s="438" t="str" cm="1">
        <f t="array" ref="O36">IF($C36&gt;0,INDEX('Mijlpaal Berekening'!$C$51:$L$65,$C36,COUNTA($I$18:O$18))*Begroting!$D131,"")</f>
        <v/>
      </c>
      <c r="P36" s="438" t="str" cm="1">
        <f t="array" ref="P36">IF($C36&gt;0,INDEX('Mijlpaal Berekening'!$C$51:$L$65,$C36,COUNTA($I$18:P$18))*Begroting!$D131,"")</f>
        <v/>
      </c>
      <c r="R36" s="1082">
        <f>Begroting!H131</f>
        <v>0</v>
      </c>
      <c r="S36" s="417"/>
      <c r="U36" s="418">
        <f t="shared" si="9"/>
        <v>0</v>
      </c>
      <c r="V36" s="418">
        <f t="shared" si="9"/>
        <v>0</v>
      </c>
      <c r="W36" s="418">
        <f t="shared" si="9"/>
        <v>0</v>
      </c>
      <c r="X36" s="418">
        <f t="shared" si="9"/>
        <v>0</v>
      </c>
      <c r="Y36" s="418">
        <f t="shared" si="9"/>
        <v>0</v>
      </c>
      <c r="Z36" s="418">
        <f t="shared" si="9"/>
        <v>0</v>
      </c>
      <c r="AA36" s="418">
        <f t="shared" si="9"/>
        <v>0</v>
      </c>
      <c r="AB36" s="418">
        <f t="shared" si="9"/>
        <v>0</v>
      </c>
      <c r="AC36" s="418">
        <f t="shared" si="9"/>
        <v>0</v>
      </c>
      <c r="AD36" s="418">
        <f t="shared" si="9"/>
        <v>0</v>
      </c>
      <c r="AE36" s="418">
        <f t="shared" si="9"/>
        <v>0</v>
      </c>
      <c r="AF36" s="418">
        <f t="shared" si="9"/>
        <v>0</v>
      </c>
      <c r="AG36" s="418">
        <f t="shared" si="9"/>
        <v>0</v>
      </c>
      <c r="AH36" s="418">
        <f t="shared" si="9"/>
        <v>0</v>
      </c>
      <c r="AI36" s="418">
        <f t="shared" si="9"/>
        <v>0</v>
      </c>
      <c r="AJ36" s="418">
        <f t="shared" si="9"/>
        <v>0</v>
      </c>
      <c r="AK36" s="418">
        <f t="shared" si="10"/>
        <v>0</v>
      </c>
      <c r="AL36" s="418">
        <f t="shared" si="10"/>
        <v>0</v>
      </c>
      <c r="AM36" s="418">
        <f t="shared" si="10"/>
        <v>0</v>
      </c>
      <c r="AN36" s="418">
        <f t="shared" si="10"/>
        <v>0</v>
      </c>
      <c r="AO36" s="418">
        <f t="shared" si="10"/>
        <v>0</v>
      </c>
      <c r="AP36" s="418">
        <f t="shared" si="10"/>
        <v>0</v>
      </c>
      <c r="AQ36" s="418">
        <f t="shared" si="10"/>
        <v>0</v>
      </c>
      <c r="AR36" s="418">
        <f t="shared" si="10"/>
        <v>0</v>
      </c>
      <c r="AS36" s="418">
        <f t="shared" si="10"/>
        <v>0</v>
      </c>
      <c r="AT36" s="418">
        <f t="shared" si="10"/>
        <v>0</v>
      </c>
      <c r="AU36" s="418">
        <f t="shared" si="10"/>
        <v>0</v>
      </c>
      <c r="AV36" s="418">
        <f t="shared" si="10"/>
        <v>0</v>
      </c>
      <c r="AW36" s="418">
        <f t="shared" si="10"/>
        <v>0</v>
      </c>
      <c r="AX36" s="418">
        <f t="shared" si="10"/>
        <v>0</v>
      </c>
      <c r="AY36" s="418">
        <f t="shared" si="10"/>
        <v>0</v>
      </c>
    </row>
    <row r="37" spans="1:51" s="418" customFormat="1" ht="15" customHeight="1" x14ac:dyDescent="0.25">
      <c r="A37" s="428"/>
      <c r="B37" s="436"/>
      <c r="C37" s="437">
        <f>Begroting!B132</f>
        <v>0</v>
      </c>
      <c r="D37" s="437">
        <f>Begroting!C132</f>
        <v>0</v>
      </c>
      <c r="E37" s="437">
        <f>Begroting!E132</f>
        <v>0</v>
      </c>
      <c r="F37" s="437">
        <f t="shared" si="4"/>
        <v>0</v>
      </c>
      <c r="G37" s="437">
        <f t="shared" si="5"/>
        <v>0</v>
      </c>
      <c r="H37" s="437">
        <f t="shared" si="8"/>
        <v>0</v>
      </c>
      <c r="I37" s="438" t="str" cm="1">
        <f t="array" ref="I37">IF($C37&gt;0,INDEX('Mijlpaal Berekening'!$C$51:$L$65,$C37,COUNTA($I$18:I$18))*Begroting!$D132,"")</f>
        <v/>
      </c>
      <c r="J37" s="438" t="str" cm="1">
        <f t="array" ref="J37">IF($C37&gt;0,INDEX('Mijlpaal Berekening'!$C$51:$L$65,$C37,COUNTA($I$18:J$18))*Begroting!$D132,"")</f>
        <v/>
      </c>
      <c r="K37" s="438" t="str" cm="1">
        <f t="array" ref="K37">IF($C37&gt;0,INDEX('Mijlpaal Berekening'!$C$51:$L$65,$C37,COUNTA($I$18:K$18))*Begroting!$D132,"")</f>
        <v/>
      </c>
      <c r="L37" s="438" t="str" cm="1">
        <f t="array" ref="L37">IF($C37&gt;0,INDEX('Mijlpaal Berekening'!$C$51:$L$65,$C37,COUNTA($I$18:L$18))*Begroting!$D132,"")</f>
        <v/>
      </c>
      <c r="M37" s="438" t="str" cm="1">
        <f t="array" ref="M37">IF($C37&gt;0,INDEX('Mijlpaal Berekening'!$C$51:$L$65,$C37,COUNTA($I$18:M$18))*Begroting!$D132,"")</f>
        <v/>
      </c>
      <c r="N37" s="438" t="str" cm="1">
        <f t="array" ref="N37">IF($C37&gt;0,INDEX('Mijlpaal Berekening'!$C$51:$L$65,$C37,COUNTA($I$18:N$18))*Begroting!$D132,"")</f>
        <v/>
      </c>
      <c r="O37" s="438" t="str" cm="1">
        <f t="array" ref="O37">IF($C37&gt;0,INDEX('Mijlpaal Berekening'!$C$51:$L$65,$C37,COUNTA($I$18:O$18))*Begroting!$D132,"")</f>
        <v/>
      </c>
      <c r="P37" s="438" t="str" cm="1">
        <f t="array" ref="P37">IF($C37&gt;0,INDEX('Mijlpaal Berekening'!$C$51:$L$65,$C37,COUNTA($I$18:P$18))*Begroting!$D132,"")</f>
        <v/>
      </c>
      <c r="R37" s="1082">
        <f>Begroting!H132</f>
        <v>0</v>
      </c>
      <c r="S37" s="417"/>
      <c r="U37" s="418">
        <f t="shared" ref="U37:AJ49" si="11">SUMIFS($I37:$P37,$I$18:$P$18,"&lt;="&amp;U$18)</f>
        <v>0</v>
      </c>
      <c r="V37" s="418">
        <f t="shared" si="11"/>
        <v>0</v>
      </c>
      <c r="W37" s="418">
        <f t="shared" si="11"/>
        <v>0</v>
      </c>
      <c r="X37" s="418">
        <f t="shared" si="11"/>
        <v>0</v>
      </c>
      <c r="Y37" s="418">
        <f t="shared" si="11"/>
        <v>0</v>
      </c>
      <c r="Z37" s="418">
        <f t="shared" si="11"/>
        <v>0</v>
      </c>
      <c r="AA37" s="418">
        <f t="shared" si="11"/>
        <v>0</v>
      </c>
      <c r="AB37" s="418">
        <f t="shared" si="11"/>
        <v>0</v>
      </c>
      <c r="AC37" s="418">
        <f t="shared" si="11"/>
        <v>0</v>
      </c>
      <c r="AD37" s="418">
        <f t="shared" si="11"/>
        <v>0</v>
      </c>
      <c r="AE37" s="418">
        <f t="shared" si="11"/>
        <v>0</v>
      </c>
      <c r="AF37" s="418">
        <f t="shared" si="11"/>
        <v>0</v>
      </c>
      <c r="AG37" s="418">
        <f t="shared" si="11"/>
        <v>0</v>
      </c>
      <c r="AH37" s="418">
        <f t="shared" si="11"/>
        <v>0</v>
      </c>
      <c r="AI37" s="418">
        <f t="shared" si="11"/>
        <v>0</v>
      </c>
      <c r="AJ37" s="418">
        <f t="shared" si="11"/>
        <v>0</v>
      </c>
      <c r="AK37" s="418">
        <f t="shared" si="10"/>
        <v>0</v>
      </c>
      <c r="AL37" s="418">
        <f t="shared" si="10"/>
        <v>0</v>
      </c>
      <c r="AM37" s="418">
        <f t="shared" si="10"/>
        <v>0</v>
      </c>
      <c r="AN37" s="418">
        <f t="shared" si="10"/>
        <v>0</v>
      </c>
      <c r="AO37" s="418">
        <f t="shared" si="10"/>
        <v>0</v>
      </c>
      <c r="AP37" s="418">
        <f t="shared" si="10"/>
        <v>0</v>
      </c>
      <c r="AQ37" s="418">
        <f t="shared" si="10"/>
        <v>0</v>
      </c>
      <c r="AR37" s="418">
        <f t="shared" si="10"/>
        <v>0</v>
      </c>
      <c r="AS37" s="418">
        <f t="shared" si="10"/>
        <v>0</v>
      </c>
      <c r="AT37" s="418">
        <f t="shared" si="10"/>
        <v>0</v>
      </c>
      <c r="AU37" s="418">
        <f t="shared" si="10"/>
        <v>0</v>
      </c>
      <c r="AV37" s="418">
        <f t="shared" si="10"/>
        <v>0</v>
      </c>
      <c r="AW37" s="418">
        <f t="shared" si="10"/>
        <v>0</v>
      </c>
      <c r="AX37" s="418">
        <f t="shared" si="10"/>
        <v>0</v>
      </c>
      <c r="AY37" s="418">
        <f t="shared" si="10"/>
        <v>0</v>
      </c>
    </row>
    <row r="38" spans="1:51" s="418" customFormat="1" ht="15" customHeight="1" x14ac:dyDescent="0.25">
      <c r="A38" s="428"/>
      <c r="B38" s="436"/>
      <c r="C38" s="437">
        <f>Begroting!B133</f>
        <v>0</v>
      </c>
      <c r="D38" s="437">
        <f>Begroting!C133</f>
        <v>0</v>
      </c>
      <c r="E38" s="437">
        <f>Begroting!E133</f>
        <v>0</v>
      </c>
      <c r="F38" s="437">
        <f t="shared" si="4"/>
        <v>0</v>
      </c>
      <c r="G38" s="437">
        <f t="shared" si="5"/>
        <v>0</v>
      </c>
      <c r="H38" s="437">
        <f t="shared" si="8"/>
        <v>0</v>
      </c>
      <c r="I38" s="438" t="str" cm="1">
        <f t="array" ref="I38">IF($C38&gt;0,INDEX('Mijlpaal Berekening'!$C$51:$L$65,$C38,COUNTA($I$18:I$18))*Begroting!$D133,"")</f>
        <v/>
      </c>
      <c r="J38" s="438" t="str" cm="1">
        <f t="array" ref="J38">IF($C38&gt;0,INDEX('Mijlpaal Berekening'!$C$51:$L$65,$C38,COUNTA($I$18:J$18))*Begroting!$D133,"")</f>
        <v/>
      </c>
      <c r="K38" s="438" t="str" cm="1">
        <f t="array" ref="K38">IF($C38&gt;0,INDEX('Mijlpaal Berekening'!$C$51:$L$65,$C38,COUNTA($I$18:K$18))*Begroting!$D133,"")</f>
        <v/>
      </c>
      <c r="L38" s="438" t="str" cm="1">
        <f t="array" ref="L38">IF($C38&gt;0,INDEX('Mijlpaal Berekening'!$C$51:$L$65,$C38,COUNTA($I$18:L$18))*Begroting!$D133,"")</f>
        <v/>
      </c>
      <c r="M38" s="438" t="str" cm="1">
        <f t="array" ref="M38">IF($C38&gt;0,INDEX('Mijlpaal Berekening'!$C$51:$L$65,$C38,COUNTA($I$18:M$18))*Begroting!$D133,"")</f>
        <v/>
      </c>
      <c r="N38" s="438" t="str" cm="1">
        <f t="array" ref="N38">IF($C38&gt;0,INDEX('Mijlpaal Berekening'!$C$51:$L$65,$C38,COUNTA($I$18:N$18))*Begroting!$D133,"")</f>
        <v/>
      </c>
      <c r="O38" s="438" t="str" cm="1">
        <f t="array" ref="O38">IF($C38&gt;0,INDEX('Mijlpaal Berekening'!$C$51:$L$65,$C38,COUNTA($I$18:O$18))*Begroting!$D133,"")</f>
        <v/>
      </c>
      <c r="P38" s="438" t="str" cm="1">
        <f t="array" ref="P38">IF($C38&gt;0,INDEX('Mijlpaal Berekening'!$C$51:$L$65,$C38,COUNTA($I$18:P$18))*Begroting!$D133,"")</f>
        <v/>
      </c>
      <c r="R38" s="1082">
        <f>Begroting!H133</f>
        <v>0</v>
      </c>
      <c r="S38" s="417"/>
      <c r="U38" s="418">
        <f t="shared" si="11"/>
        <v>0</v>
      </c>
      <c r="V38" s="418">
        <f t="shared" si="11"/>
        <v>0</v>
      </c>
      <c r="W38" s="418">
        <f t="shared" si="11"/>
        <v>0</v>
      </c>
      <c r="X38" s="418">
        <f t="shared" si="11"/>
        <v>0</v>
      </c>
      <c r="Y38" s="418">
        <f t="shared" si="11"/>
        <v>0</v>
      </c>
      <c r="Z38" s="418">
        <f t="shared" si="11"/>
        <v>0</v>
      </c>
      <c r="AA38" s="418">
        <f t="shared" si="11"/>
        <v>0</v>
      </c>
      <c r="AB38" s="418">
        <f t="shared" si="11"/>
        <v>0</v>
      </c>
      <c r="AC38" s="418">
        <f t="shared" si="11"/>
        <v>0</v>
      </c>
      <c r="AD38" s="418">
        <f t="shared" si="11"/>
        <v>0</v>
      </c>
      <c r="AE38" s="418">
        <f t="shared" si="11"/>
        <v>0</v>
      </c>
      <c r="AF38" s="418">
        <f t="shared" si="11"/>
        <v>0</v>
      </c>
      <c r="AG38" s="418">
        <f t="shared" si="11"/>
        <v>0</v>
      </c>
      <c r="AH38" s="418">
        <f t="shared" si="11"/>
        <v>0</v>
      </c>
      <c r="AI38" s="418">
        <f t="shared" si="11"/>
        <v>0</v>
      </c>
      <c r="AJ38" s="418">
        <f t="shared" si="11"/>
        <v>0</v>
      </c>
      <c r="AK38" s="418">
        <f t="shared" si="10"/>
        <v>0</v>
      </c>
      <c r="AL38" s="418">
        <f t="shared" si="10"/>
        <v>0</v>
      </c>
      <c r="AM38" s="418">
        <f t="shared" si="10"/>
        <v>0</v>
      </c>
      <c r="AN38" s="418">
        <f t="shared" si="10"/>
        <v>0</v>
      </c>
      <c r="AO38" s="418">
        <f t="shared" si="10"/>
        <v>0</v>
      </c>
      <c r="AP38" s="418">
        <f t="shared" si="10"/>
        <v>0</v>
      </c>
      <c r="AQ38" s="418">
        <f t="shared" si="10"/>
        <v>0</v>
      </c>
      <c r="AR38" s="418">
        <f t="shared" si="10"/>
        <v>0</v>
      </c>
      <c r="AS38" s="418">
        <f t="shared" si="10"/>
        <v>0</v>
      </c>
      <c r="AT38" s="418">
        <f t="shared" si="10"/>
        <v>0</v>
      </c>
      <c r="AU38" s="418">
        <f t="shared" si="10"/>
        <v>0</v>
      </c>
      <c r="AV38" s="418">
        <f t="shared" si="10"/>
        <v>0</v>
      </c>
      <c r="AW38" s="418">
        <f t="shared" si="10"/>
        <v>0</v>
      </c>
      <c r="AX38" s="418">
        <f t="shared" si="10"/>
        <v>0</v>
      </c>
      <c r="AY38" s="418">
        <f t="shared" si="10"/>
        <v>0</v>
      </c>
    </row>
    <row r="39" spans="1:51" s="418" customFormat="1" ht="15" customHeight="1" x14ac:dyDescent="0.25">
      <c r="A39" s="428"/>
      <c r="B39" s="436"/>
      <c r="C39" s="437">
        <f>Begroting!B134</f>
        <v>0</v>
      </c>
      <c r="D39" s="437">
        <f>Begroting!C134</f>
        <v>0</v>
      </c>
      <c r="E39" s="437">
        <f>Begroting!E134</f>
        <v>0</v>
      </c>
      <c r="F39" s="437">
        <f t="shared" si="4"/>
        <v>0</v>
      </c>
      <c r="G39" s="437">
        <f t="shared" si="5"/>
        <v>0</v>
      </c>
      <c r="H39" s="437">
        <f t="shared" si="8"/>
        <v>0</v>
      </c>
      <c r="I39" s="438" t="str" cm="1">
        <f t="array" ref="I39">IF($C39&gt;0,INDEX('Mijlpaal Berekening'!$C$51:$L$65,$C39,COUNTA($I$18:I$18))*Begroting!$D134,"")</f>
        <v/>
      </c>
      <c r="J39" s="438" t="str" cm="1">
        <f t="array" ref="J39">IF($C39&gt;0,INDEX('Mijlpaal Berekening'!$C$51:$L$65,$C39,COUNTA($I$18:J$18))*Begroting!$D134,"")</f>
        <v/>
      </c>
      <c r="K39" s="438" t="str" cm="1">
        <f t="array" ref="K39">IF($C39&gt;0,INDEX('Mijlpaal Berekening'!$C$51:$L$65,$C39,COUNTA($I$18:K$18))*Begroting!$D134,"")</f>
        <v/>
      </c>
      <c r="L39" s="438" t="str" cm="1">
        <f t="array" ref="L39">IF($C39&gt;0,INDEX('Mijlpaal Berekening'!$C$51:$L$65,$C39,COUNTA($I$18:L$18))*Begroting!$D134,"")</f>
        <v/>
      </c>
      <c r="M39" s="438" t="str" cm="1">
        <f t="array" ref="M39">IF($C39&gt;0,INDEX('Mijlpaal Berekening'!$C$51:$L$65,$C39,COUNTA($I$18:M$18))*Begroting!$D134,"")</f>
        <v/>
      </c>
      <c r="N39" s="438" t="str" cm="1">
        <f t="array" ref="N39">IF($C39&gt;0,INDEX('Mijlpaal Berekening'!$C$51:$L$65,$C39,COUNTA($I$18:N$18))*Begroting!$D134,"")</f>
        <v/>
      </c>
      <c r="O39" s="438" t="str" cm="1">
        <f t="array" ref="O39">IF($C39&gt;0,INDEX('Mijlpaal Berekening'!$C$51:$L$65,$C39,COUNTA($I$18:O$18))*Begroting!$D134,"")</f>
        <v/>
      </c>
      <c r="P39" s="438" t="str" cm="1">
        <f t="array" ref="P39">IF($C39&gt;0,INDEX('Mijlpaal Berekening'!$C$51:$L$65,$C39,COUNTA($I$18:P$18))*Begroting!$D134,"")</f>
        <v/>
      </c>
      <c r="R39" s="1082">
        <f>Begroting!H134</f>
        <v>0</v>
      </c>
      <c r="S39" s="417"/>
      <c r="U39" s="418">
        <f t="shared" si="11"/>
        <v>0</v>
      </c>
      <c r="V39" s="418">
        <f t="shared" si="11"/>
        <v>0</v>
      </c>
      <c r="W39" s="418">
        <f t="shared" si="11"/>
        <v>0</v>
      </c>
      <c r="X39" s="418">
        <f t="shared" si="11"/>
        <v>0</v>
      </c>
      <c r="Y39" s="418">
        <f t="shared" si="11"/>
        <v>0</v>
      </c>
      <c r="Z39" s="418">
        <f t="shared" si="11"/>
        <v>0</v>
      </c>
      <c r="AA39" s="418">
        <f t="shared" si="11"/>
        <v>0</v>
      </c>
      <c r="AB39" s="418">
        <f t="shared" si="11"/>
        <v>0</v>
      </c>
      <c r="AC39" s="418">
        <f t="shared" si="11"/>
        <v>0</v>
      </c>
      <c r="AD39" s="418">
        <f t="shared" si="11"/>
        <v>0</v>
      </c>
      <c r="AE39" s="418">
        <f t="shared" si="11"/>
        <v>0</v>
      </c>
      <c r="AF39" s="418">
        <f t="shared" si="11"/>
        <v>0</v>
      </c>
      <c r="AG39" s="418">
        <f t="shared" si="11"/>
        <v>0</v>
      </c>
      <c r="AH39" s="418">
        <f t="shared" si="11"/>
        <v>0</v>
      </c>
      <c r="AI39" s="418">
        <f t="shared" si="11"/>
        <v>0</v>
      </c>
      <c r="AJ39" s="418">
        <f t="shared" si="11"/>
        <v>0</v>
      </c>
      <c r="AK39" s="418">
        <f t="shared" si="10"/>
        <v>0</v>
      </c>
      <c r="AL39" s="418">
        <f t="shared" si="10"/>
        <v>0</v>
      </c>
      <c r="AM39" s="418">
        <f t="shared" si="10"/>
        <v>0</v>
      </c>
      <c r="AN39" s="418">
        <f t="shared" si="10"/>
        <v>0</v>
      </c>
      <c r="AO39" s="418">
        <f t="shared" si="10"/>
        <v>0</v>
      </c>
      <c r="AP39" s="418">
        <f t="shared" si="10"/>
        <v>0</v>
      </c>
      <c r="AQ39" s="418">
        <f t="shared" si="10"/>
        <v>0</v>
      </c>
      <c r="AR39" s="418">
        <f t="shared" si="10"/>
        <v>0</v>
      </c>
      <c r="AS39" s="418">
        <f t="shared" si="10"/>
        <v>0</v>
      </c>
      <c r="AT39" s="418">
        <f t="shared" si="10"/>
        <v>0</v>
      </c>
      <c r="AU39" s="418">
        <f t="shared" si="10"/>
        <v>0</v>
      </c>
      <c r="AV39" s="418">
        <f t="shared" si="10"/>
        <v>0</v>
      </c>
      <c r="AW39" s="418">
        <f t="shared" si="10"/>
        <v>0</v>
      </c>
      <c r="AX39" s="418">
        <f t="shared" si="10"/>
        <v>0</v>
      </c>
      <c r="AY39" s="418">
        <f t="shared" si="10"/>
        <v>0</v>
      </c>
    </row>
    <row r="40" spans="1:51" s="418" customFormat="1" ht="15" customHeight="1" x14ac:dyDescent="0.25">
      <c r="A40" s="428"/>
      <c r="B40" s="436"/>
      <c r="C40" s="437">
        <f>Begroting!B135</f>
        <v>0</v>
      </c>
      <c r="D40" s="437">
        <f>Begroting!C135</f>
        <v>0</v>
      </c>
      <c r="E40" s="437">
        <f>Begroting!E135</f>
        <v>0</v>
      </c>
      <c r="F40" s="437">
        <f t="shared" si="4"/>
        <v>0</v>
      </c>
      <c r="G40" s="437">
        <f t="shared" si="5"/>
        <v>0</v>
      </c>
      <c r="H40" s="437">
        <f t="shared" si="8"/>
        <v>0</v>
      </c>
      <c r="I40" s="438" t="str" cm="1">
        <f t="array" ref="I40">IF($C40&gt;0,INDEX('Mijlpaal Berekening'!$C$51:$L$65,$C40,COUNTA($I$18:I$18))*Begroting!$D135,"")</f>
        <v/>
      </c>
      <c r="J40" s="438" t="str" cm="1">
        <f t="array" ref="J40">IF($C40&gt;0,INDEX('Mijlpaal Berekening'!$C$51:$L$65,$C40,COUNTA($I$18:J$18))*Begroting!$D135,"")</f>
        <v/>
      </c>
      <c r="K40" s="438" t="str" cm="1">
        <f t="array" ref="K40">IF($C40&gt;0,INDEX('Mijlpaal Berekening'!$C$51:$L$65,$C40,COUNTA($I$18:K$18))*Begroting!$D135,"")</f>
        <v/>
      </c>
      <c r="L40" s="438" t="str" cm="1">
        <f t="array" ref="L40">IF($C40&gt;0,INDEX('Mijlpaal Berekening'!$C$51:$L$65,$C40,COUNTA($I$18:L$18))*Begroting!$D135,"")</f>
        <v/>
      </c>
      <c r="M40" s="438" t="str" cm="1">
        <f t="array" ref="M40">IF($C40&gt;0,INDEX('Mijlpaal Berekening'!$C$51:$L$65,$C40,COUNTA($I$18:M$18))*Begroting!$D135,"")</f>
        <v/>
      </c>
      <c r="N40" s="438" t="str" cm="1">
        <f t="array" ref="N40">IF($C40&gt;0,INDEX('Mijlpaal Berekening'!$C$51:$L$65,$C40,COUNTA($I$18:N$18))*Begroting!$D135,"")</f>
        <v/>
      </c>
      <c r="O40" s="438" t="str" cm="1">
        <f t="array" ref="O40">IF($C40&gt;0,INDEX('Mijlpaal Berekening'!$C$51:$L$65,$C40,COUNTA($I$18:O$18))*Begroting!$D135,"")</f>
        <v/>
      </c>
      <c r="P40" s="438" t="str" cm="1">
        <f t="array" ref="P40">IF($C40&gt;0,INDEX('Mijlpaal Berekening'!$C$51:$L$65,$C40,COUNTA($I$18:P$18))*Begroting!$D135,"")</f>
        <v/>
      </c>
      <c r="R40" s="1082">
        <f>Begroting!H135</f>
        <v>0</v>
      </c>
      <c r="S40" s="417"/>
      <c r="U40" s="418">
        <f t="shared" si="11"/>
        <v>0</v>
      </c>
      <c r="V40" s="418">
        <f t="shared" si="11"/>
        <v>0</v>
      </c>
      <c r="W40" s="418">
        <f t="shared" si="11"/>
        <v>0</v>
      </c>
      <c r="X40" s="418">
        <f t="shared" si="11"/>
        <v>0</v>
      </c>
      <c r="Y40" s="418">
        <f t="shared" si="11"/>
        <v>0</v>
      </c>
      <c r="Z40" s="418">
        <f t="shared" si="11"/>
        <v>0</v>
      </c>
      <c r="AA40" s="418">
        <f t="shared" si="11"/>
        <v>0</v>
      </c>
      <c r="AB40" s="418">
        <f t="shared" si="11"/>
        <v>0</v>
      </c>
      <c r="AC40" s="418">
        <f t="shared" si="11"/>
        <v>0</v>
      </c>
      <c r="AD40" s="418">
        <f t="shared" si="11"/>
        <v>0</v>
      </c>
      <c r="AE40" s="418">
        <f t="shared" si="11"/>
        <v>0</v>
      </c>
      <c r="AF40" s="418">
        <f t="shared" si="11"/>
        <v>0</v>
      </c>
      <c r="AG40" s="418">
        <f t="shared" si="11"/>
        <v>0</v>
      </c>
      <c r="AH40" s="418">
        <f t="shared" si="11"/>
        <v>0</v>
      </c>
      <c r="AI40" s="418">
        <f t="shared" si="11"/>
        <v>0</v>
      </c>
      <c r="AJ40" s="418">
        <f t="shared" si="11"/>
        <v>0</v>
      </c>
      <c r="AK40" s="418">
        <f t="shared" si="10"/>
        <v>0</v>
      </c>
      <c r="AL40" s="418">
        <f t="shared" si="10"/>
        <v>0</v>
      </c>
      <c r="AM40" s="418">
        <f t="shared" si="10"/>
        <v>0</v>
      </c>
      <c r="AN40" s="418">
        <f t="shared" si="10"/>
        <v>0</v>
      </c>
      <c r="AO40" s="418">
        <f t="shared" si="10"/>
        <v>0</v>
      </c>
      <c r="AP40" s="418">
        <f t="shared" si="10"/>
        <v>0</v>
      </c>
      <c r="AQ40" s="418">
        <f t="shared" si="10"/>
        <v>0</v>
      </c>
      <c r="AR40" s="418">
        <f t="shared" si="10"/>
        <v>0</v>
      </c>
      <c r="AS40" s="418">
        <f t="shared" si="10"/>
        <v>0</v>
      </c>
      <c r="AT40" s="418">
        <f t="shared" si="10"/>
        <v>0</v>
      </c>
      <c r="AU40" s="418">
        <f t="shared" si="10"/>
        <v>0</v>
      </c>
      <c r="AV40" s="418">
        <f t="shared" si="10"/>
        <v>0</v>
      </c>
      <c r="AW40" s="418">
        <f t="shared" si="10"/>
        <v>0</v>
      </c>
      <c r="AX40" s="418">
        <f t="shared" si="10"/>
        <v>0</v>
      </c>
      <c r="AY40" s="418">
        <f t="shared" si="10"/>
        <v>0</v>
      </c>
    </row>
    <row r="41" spans="1:51" s="418" customFormat="1" ht="15" customHeight="1" x14ac:dyDescent="0.25">
      <c r="A41" s="428"/>
      <c r="B41" s="436"/>
      <c r="C41" s="437">
        <f>Begroting!B136</f>
        <v>0</v>
      </c>
      <c r="D41" s="437">
        <f>Begroting!C136</f>
        <v>0</v>
      </c>
      <c r="E41" s="437">
        <f>Begroting!E136</f>
        <v>0</v>
      </c>
      <c r="F41" s="437">
        <f t="shared" si="4"/>
        <v>0</v>
      </c>
      <c r="G41" s="437">
        <f t="shared" si="5"/>
        <v>0</v>
      </c>
      <c r="H41" s="437">
        <f t="shared" si="8"/>
        <v>0</v>
      </c>
      <c r="I41" s="438" t="str" cm="1">
        <f t="array" ref="I41">IF($C41&gt;0,INDEX('Mijlpaal Berekening'!$C$51:$L$65,$C41,COUNTA($I$18:I$18))*Begroting!$D136,"")</f>
        <v/>
      </c>
      <c r="J41" s="438" t="str" cm="1">
        <f t="array" ref="J41">IF($C41&gt;0,INDEX('Mijlpaal Berekening'!$C$51:$L$65,$C41,COUNTA($I$18:J$18))*Begroting!$D136,"")</f>
        <v/>
      </c>
      <c r="K41" s="438" t="str" cm="1">
        <f t="array" ref="K41">IF($C41&gt;0,INDEX('Mijlpaal Berekening'!$C$51:$L$65,$C41,COUNTA($I$18:K$18))*Begroting!$D136,"")</f>
        <v/>
      </c>
      <c r="L41" s="438" t="str" cm="1">
        <f t="array" ref="L41">IF($C41&gt;0,INDEX('Mijlpaal Berekening'!$C$51:$L$65,$C41,COUNTA($I$18:L$18))*Begroting!$D136,"")</f>
        <v/>
      </c>
      <c r="M41" s="438" t="str" cm="1">
        <f t="array" ref="M41">IF($C41&gt;0,INDEX('Mijlpaal Berekening'!$C$51:$L$65,$C41,COUNTA($I$18:M$18))*Begroting!$D136,"")</f>
        <v/>
      </c>
      <c r="N41" s="438" t="str" cm="1">
        <f t="array" ref="N41">IF($C41&gt;0,INDEX('Mijlpaal Berekening'!$C$51:$L$65,$C41,COUNTA($I$18:N$18))*Begroting!$D136,"")</f>
        <v/>
      </c>
      <c r="O41" s="438" t="str" cm="1">
        <f t="array" ref="O41">IF($C41&gt;0,INDEX('Mijlpaal Berekening'!$C$51:$L$65,$C41,COUNTA($I$18:O$18))*Begroting!$D136,"")</f>
        <v/>
      </c>
      <c r="P41" s="438" t="str" cm="1">
        <f t="array" ref="P41">IF($C41&gt;0,INDEX('Mijlpaal Berekening'!$C$51:$L$65,$C41,COUNTA($I$18:P$18))*Begroting!$D136,"")</f>
        <v/>
      </c>
      <c r="R41" s="1082">
        <f>Begroting!H136</f>
        <v>0</v>
      </c>
      <c r="S41" s="417"/>
      <c r="U41" s="418">
        <f t="shared" si="11"/>
        <v>0</v>
      </c>
      <c r="V41" s="418">
        <f t="shared" si="11"/>
        <v>0</v>
      </c>
      <c r="W41" s="418">
        <f t="shared" si="11"/>
        <v>0</v>
      </c>
      <c r="X41" s="418">
        <f t="shared" si="11"/>
        <v>0</v>
      </c>
      <c r="Y41" s="418">
        <f t="shared" si="11"/>
        <v>0</v>
      </c>
      <c r="Z41" s="418">
        <f t="shared" si="11"/>
        <v>0</v>
      </c>
      <c r="AA41" s="418">
        <f t="shared" si="11"/>
        <v>0</v>
      </c>
      <c r="AB41" s="418">
        <f t="shared" si="11"/>
        <v>0</v>
      </c>
      <c r="AC41" s="418">
        <f t="shared" si="11"/>
        <v>0</v>
      </c>
      <c r="AD41" s="418">
        <f t="shared" si="11"/>
        <v>0</v>
      </c>
      <c r="AE41" s="418">
        <f t="shared" si="11"/>
        <v>0</v>
      </c>
      <c r="AF41" s="418">
        <f t="shared" si="11"/>
        <v>0</v>
      </c>
      <c r="AG41" s="418">
        <f t="shared" si="11"/>
        <v>0</v>
      </c>
      <c r="AH41" s="418">
        <f t="shared" si="11"/>
        <v>0</v>
      </c>
      <c r="AI41" s="418">
        <f t="shared" si="11"/>
        <v>0</v>
      </c>
      <c r="AJ41" s="418">
        <f t="shared" si="11"/>
        <v>0</v>
      </c>
      <c r="AK41" s="418">
        <f t="shared" si="10"/>
        <v>0</v>
      </c>
      <c r="AL41" s="418">
        <f t="shared" si="10"/>
        <v>0</v>
      </c>
      <c r="AM41" s="418">
        <f t="shared" si="10"/>
        <v>0</v>
      </c>
      <c r="AN41" s="418">
        <f t="shared" si="10"/>
        <v>0</v>
      </c>
      <c r="AO41" s="418">
        <f t="shared" si="10"/>
        <v>0</v>
      </c>
      <c r="AP41" s="418">
        <f t="shared" si="10"/>
        <v>0</v>
      </c>
      <c r="AQ41" s="418">
        <f t="shared" si="10"/>
        <v>0</v>
      </c>
      <c r="AR41" s="418">
        <f t="shared" si="10"/>
        <v>0</v>
      </c>
      <c r="AS41" s="418">
        <f t="shared" si="10"/>
        <v>0</v>
      </c>
      <c r="AT41" s="418">
        <f t="shared" si="10"/>
        <v>0</v>
      </c>
      <c r="AU41" s="418">
        <f t="shared" si="10"/>
        <v>0</v>
      </c>
      <c r="AV41" s="418">
        <f t="shared" si="10"/>
        <v>0</v>
      </c>
      <c r="AW41" s="418">
        <f t="shared" si="10"/>
        <v>0</v>
      </c>
      <c r="AX41" s="418">
        <f t="shared" si="10"/>
        <v>0</v>
      </c>
      <c r="AY41" s="418">
        <f t="shared" si="10"/>
        <v>0</v>
      </c>
    </row>
    <row r="42" spans="1:51" s="418" customFormat="1" ht="15" customHeight="1" x14ac:dyDescent="0.25">
      <c r="A42" s="428"/>
      <c r="B42" s="436"/>
      <c r="C42" s="437">
        <f>Begroting!B137</f>
        <v>0</v>
      </c>
      <c r="D42" s="437">
        <f>Begroting!C137</f>
        <v>0</v>
      </c>
      <c r="E42" s="437">
        <f>Begroting!E137</f>
        <v>0</v>
      </c>
      <c r="F42" s="437">
        <f t="shared" si="4"/>
        <v>0</v>
      </c>
      <c r="G42" s="437">
        <f t="shared" si="5"/>
        <v>0</v>
      </c>
      <c r="H42" s="437">
        <f t="shared" si="8"/>
        <v>0</v>
      </c>
      <c r="I42" s="438" t="str" cm="1">
        <f t="array" ref="I42">IF($C42&gt;0,INDEX('Mijlpaal Berekening'!$C$51:$L$65,$C42,COUNTA($I$18:I$18))*Begroting!$D137,"")</f>
        <v/>
      </c>
      <c r="J42" s="438" t="str" cm="1">
        <f t="array" ref="J42">IF($C42&gt;0,INDEX('Mijlpaal Berekening'!$C$51:$L$65,$C42,COUNTA($I$18:J$18))*Begroting!$D137,"")</f>
        <v/>
      </c>
      <c r="K42" s="438" t="str" cm="1">
        <f t="array" ref="K42">IF($C42&gt;0,INDEX('Mijlpaal Berekening'!$C$51:$L$65,$C42,COUNTA($I$18:K$18))*Begroting!$D137,"")</f>
        <v/>
      </c>
      <c r="L42" s="438" t="str" cm="1">
        <f t="array" ref="L42">IF($C42&gt;0,INDEX('Mijlpaal Berekening'!$C$51:$L$65,$C42,COUNTA($I$18:L$18))*Begroting!$D137,"")</f>
        <v/>
      </c>
      <c r="M42" s="438" t="str" cm="1">
        <f t="array" ref="M42">IF($C42&gt;0,INDEX('Mijlpaal Berekening'!$C$51:$L$65,$C42,COUNTA($I$18:M$18))*Begroting!$D137,"")</f>
        <v/>
      </c>
      <c r="N42" s="438" t="str" cm="1">
        <f t="array" ref="N42">IF($C42&gt;0,INDEX('Mijlpaal Berekening'!$C$51:$L$65,$C42,COUNTA($I$18:N$18))*Begroting!$D137,"")</f>
        <v/>
      </c>
      <c r="O42" s="438" t="str" cm="1">
        <f t="array" ref="O42">IF($C42&gt;0,INDEX('Mijlpaal Berekening'!$C$51:$L$65,$C42,COUNTA($I$18:O$18))*Begroting!$D137,"")</f>
        <v/>
      </c>
      <c r="P42" s="438" t="str" cm="1">
        <f t="array" ref="P42">IF($C42&gt;0,INDEX('Mijlpaal Berekening'!$C$51:$L$65,$C42,COUNTA($I$18:P$18))*Begroting!$D137,"")</f>
        <v/>
      </c>
      <c r="R42" s="1082">
        <f>Begroting!H137</f>
        <v>0</v>
      </c>
      <c r="S42" s="417"/>
      <c r="U42" s="418">
        <f t="shared" si="11"/>
        <v>0</v>
      </c>
      <c r="V42" s="418">
        <f t="shared" si="11"/>
        <v>0</v>
      </c>
      <c r="W42" s="418">
        <f t="shared" si="11"/>
        <v>0</v>
      </c>
      <c r="X42" s="418">
        <f t="shared" si="11"/>
        <v>0</v>
      </c>
      <c r="Y42" s="418">
        <f t="shared" si="11"/>
        <v>0</v>
      </c>
      <c r="Z42" s="418">
        <f t="shared" si="11"/>
        <v>0</v>
      </c>
      <c r="AA42" s="418">
        <f t="shared" si="11"/>
        <v>0</v>
      </c>
      <c r="AB42" s="418">
        <f t="shared" si="11"/>
        <v>0</v>
      </c>
      <c r="AC42" s="418">
        <f t="shared" si="11"/>
        <v>0</v>
      </c>
      <c r="AD42" s="418">
        <f t="shared" si="11"/>
        <v>0</v>
      </c>
      <c r="AE42" s="418">
        <f t="shared" si="11"/>
        <v>0</v>
      </c>
      <c r="AF42" s="418">
        <f t="shared" si="11"/>
        <v>0</v>
      </c>
      <c r="AG42" s="418">
        <f t="shared" si="11"/>
        <v>0</v>
      </c>
      <c r="AH42" s="418">
        <f t="shared" si="11"/>
        <v>0</v>
      </c>
      <c r="AI42" s="418">
        <f t="shared" si="11"/>
        <v>0</v>
      </c>
      <c r="AJ42" s="418">
        <f t="shared" si="11"/>
        <v>0</v>
      </c>
      <c r="AK42" s="418">
        <f t="shared" si="10"/>
        <v>0</v>
      </c>
      <c r="AL42" s="418">
        <f t="shared" si="10"/>
        <v>0</v>
      </c>
      <c r="AM42" s="418">
        <f t="shared" si="10"/>
        <v>0</v>
      </c>
      <c r="AN42" s="418">
        <f t="shared" si="10"/>
        <v>0</v>
      </c>
      <c r="AO42" s="418">
        <f t="shared" si="10"/>
        <v>0</v>
      </c>
      <c r="AP42" s="418">
        <f t="shared" si="10"/>
        <v>0</v>
      </c>
      <c r="AQ42" s="418">
        <f t="shared" si="10"/>
        <v>0</v>
      </c>
      <c r="AR42" s="418">
        <f t="shared" si="10"/>
        <v>0</v>
      </c>
      <c r="AS42" s="418">
        <f t="shared" si="10"/>
        <v>0</v>
      </c>
      <c r="AT42" s="418">
        <f t="shared" si="10"/>
        <v>0</v>
      </c>
      <c r="AU42" s="418">
        <f t="shared" si="10"/>
        <v>0</v>
      </c>
      <c r="AV42" s="418">
        <f t="shared" si="10"/>
        <v>0</v>
      </c>
      <c r="AW42" s="418">
        <f t="shared" si="10"/>
        <v>0</v>
      </c>
      <c r="AX42" s="418">
        <f t="shared" si="10"/>
        <v>0</v>
      </c>
      <c r="AY42" s="418">
        <f t="shared" si="10"/>
        <v>0</v>
      </c>
    </row>
    <row r="43" spans="1:51" s="418" customFormat="1" ht="15" customHeight="1" x14ac:dyDescent="0.25">
      <c r="A43" s="428"/>
      <c r="B43" s="436"/>
      <c r="C43" s="437">
        <f>Begroting!B138</f>
        <v>0</v>
      </c>
      <c r="D43" s="437">
        <f>Begroting!C138</f>
        <v>0</v>
      </c>
      <c r="E43" s="437">
        <f>Begroting!E138</f>
        <v>0</v>
      </c>
      <c r="F43" s="437">
        <f t="shared" si="4"/>
        <v>0</v>
      </c>
      <c r="G43" s="437">
        <f t="shared" si="5"/>
        <v>0</v>
      </c>
      <c r="H43" s="437">
        <f t="shared" si="8"/>
        <v>0</v>
      </c>
      <c r="I43" s="438" t="str" cm="1">
        <f t="array" ref="I43">IF($C43&gt;0,INDEX('Mijlpaal Berekening'!$C$51:$L$65,$C43,COUNTA($I$18:I$18))*Begroting!$D138,"")</f>
        <v/>
      </c>
      <c r="J43" s="438" t="str" cm="1">
        <f t="array" ref="J43">IF($C43&gt;0,INDEX('Mijlpaal Berekening'!$C$51:$L$65,$C43,COUNTA($I$18:J$18))*Begroting!$D138,"")</f>
        <v/>
      </c>
      <c r="K43" s="438" t="str" cm="1">
        <f t="array" ref="K43">IF($C43&gt;0,INDEX('Mijlpaal Berekening'!$C$51:$L$65,$C43,COUNTA($I$18:K$18))*Begroting!$D138,"")</f>
        <v/>
      </c>
      <c r="L43" s="438" t="str" cm="1">
        <f t="array" ref="L43">IF($C43&gt;0,INDEX('Mijlpaal Berekening'!$C$51:$L$65,$C43,COUNTA($I$18:L$18))*Begroting!$D138,"")</f>
        <v/>
      </c>
      <c r="M43" s="438" t="str" cm="1">
        <f t="array" ref="M43">IF($C43&gt;0,INDEX('Mijlpaal Berekening'!$C$51:$L$65,$C43,COUNTA($I$18:M$18))*Begroting!$D138,"")</f>
        <v/>
      </c>
      <c r="N43" s="438" t="str" cm="1">
        <f t="array" ref="N43">IF($C43&gt;0,INDEX('Mijlpaal Berekening'!$C$51:$L$65,$C43,COUNTA($I$18:N$18))*Begroting!$D138,"")</f>
        <v/>
      </c>
      <c r="O43" s="438" t="str" cm="1">
        <f t="array" ref="O43">IF($C43&gt;0,INDEX('Mijlpaal Berekening'!$C$51:$L$65,$C43,COUNTA($I$18:O$18))*Begroting!$D138,"")</f>
        <v/>
      </c>
      <c r="P43" s="438" t="str" cm="1">
        <f t="array" ref="P43">IF($C43&gt;0,INDEX('Mijlpaal Berekening'!$C$51:$L$65,$C43,COUNTA($I$18:P$18))*Begroting!$D138,"")</f>
        <v/>
      </c>
      <c r="R43" s="1082">
        <f>Begroting!H138</f>
        <v>0</v>
      </c>
      <c r="S43" s="417"/>
      <c r="U43" s="418">
        <f t="shared" si="11"/>
        <v>0</v>
      </c>
      <c r="V43" s="418">
        <f t="shared" si="11"/>
        <v>0</v>
      </c>
      <c r="W43" s="418">
        <f t="shared" si="11"/>
        <v>0</v>
      </c>
      <c r="X43" s="418">
        <f t="shared" si="11"/>
        <v>0</v>
      </c>
      <c r="Y43" s="418">
        <f t="shared" si="11"/>
        <v>0</v>
      </c>
      <c r="Z43" s="418">
        <f t="shared" si="11"/>
        <v>0</v>
      </c>
      <c r="AA43" s="418">
        <f t="shared" si="11"/>
        <v>0</v>
      </c>
      <c r="AB43" s="418">
        <f t="shared" si="11"/>
        <v>0</v>
      </c>
      <c r="AC43" s="418">
        <f t="shared" si="11"/>
        <v>0</v>
      </c>
      <c r="AD43" s="418">
        <f t="shared" si="11"/>
        <v>0</v>
      </c>
      <c r="AE43" s="418">
        <f t="shared" si="11"/>
        <v>0</v>
      </c>
      <c r="AF43" s="418">
        <f t="shared" si="11"/>
        <v>0</v>
      </c>
      <c r="AG43" s="418">
        <f t="shared" si="11"/>
        <v>0</v>
      </c>
      <c r="AH43" s="418">
        <f t="shared" si="11"/>
        <v>0</v>
      </c>
      <c r="AI43" s="418">
        <f>SUMIFS($I43:$P43,$I$18:$P$18,"&lt;="&amp;AI$18)</f>
        <v>0</v>
      </c>
      <c r="AJ43" s="418">
        <f t="shared" si="11"/>
        <v>0</v>
      </c>
      <c r="AK43" s="418">
        <f t="shared" si="10"/>
        <v>0</v>
      </c>
      <c r="AL43" s="418">
        <f t="shared" si="10"/>
        <v>0</v>
      </c>
      <c r="AM43" s="418">
        <f t="shared" si="10"/>
        <v>0</v>
      </c>
      <c r="AN43" s="418">
        <f t="shared" si="10"/>
        <v>0</v>
      </c>
      <c r="AO43" s="418">
        <f t="shared" si="10"/>
        <v>0</v>
      </c>
      <c r="AP43" s="418">
        <f t="shared" si="10"/>
        <v>0</v>
      </c>
      <c r="AQ43" s="418">
        <f t="shared" si="10"/>
        <v>0</v>
      </c>
      <c r="AR43" s="418">
        <f t="shared" si="10"/>
        <v>0</v>
      </c>
      <c r="AS43" s="418">
        <f t="shared" si="10"/>
        <v>0</v>
      </c>
      <c r="AT43" s="418">
        <f t="shared" si="10"/>
        <v>0</v>
      </c>
      <c r="AU43" s="418">
        <f t="shared" si="10"/>
        <v>0</v>
      </c>
      <c r="AV43" s="418">
        <f t="shared" si="10"/>
        <v>0</v>
      </c>
      <c r="AW43" s="418">
        <f t="shared" si="10"/>
        <v>0</v>
      </c>
      <c r="AX43" s="418">
        <f t="shared" si="10"/>
        <v>0</v>
      </c>
      <c r="AY43" s="418">
        <f t="shared" si="10"/>
        <v>0</v>
      </c>
    </row>
    <row r="44" spans="1:51" s="418" customFormat="1" ht="15" customHeight="1" x14ac:dyDescent="0.25">
      <c r="A44" s="428"/>
      <c r="B44" s="436"/>
      <c r="C44" s="437">
        <f>Begroting!B139</f>
        <v>0</v>
      </c>
      <c r="D44" s="437">
        <f>Begroting!C139</f>
        <v>0</v>
      </c>
      <c r="E44" s="437">
        <f>Begroting!E139</f>
        <v>0</v>
      </c>
      <c r="F44" s="437">
        <f t="shared" si="4"/>
        <v>0</v>
      </c>
      <c r="G44" s="437">
        <f t="shared" si="5"/>
        <v>0</v>
      </c>
      <c r="H44" s="437">
        <f t="shared" si="8"/>
        <v>0</v>
      </c>
      <c r="I44" s="438" t="str" cm="1">
        <f t="array" ref="I44">IF($C44&gt;0,INDEX('Mijlpaal Berekening'!$C$51:$L$65,$C44,COUNTA($I$18:I$18))*Begroting!$D139,"")</f>
        <v/>
      </c>
      <c r="J44" s="438" t="str" cm="1">
        <f t="array" ref="J44">IF($C44&gt;0,INDEX('Mijlpaal Berekening'!$C$51:$L$65,$C44,COUNTA($I$18:J$18))*Begroting!$D139,"")</f>
        <v/>
      </c>
      <c r="K44" s="438" t="str" cm="1">
        <f t="array" ref="K44">IF($C44&gt;0,INDEX('Mijlpaal Berekening'!$C$51:$L$65,$C44,COUNTA($I$18:K$18))*Begroting!$D139,"")</f>
        <v/>
      </c>
      <c r="L44" s="438" t="str" cm="1">
        <f t="array" ref="L44">IF($C44&gt;0,INDEX('Mijlpaal Berekening'!$C$51:$L$65,$C44,COUNTA($I$18:L$18))*Begroting!$D139,"")</f>
        <v/>
      </c>
      <c r="M44" s="438" t="str" cm="1">
        <f t="array" ref="M44">IF($C44&gt;0,INDEX('Mijlpaal Berekening'!$C$51:$L$65,$C44,COUNTA($I$18:M$18))*Begroting!$D139,"")</f>
        <v/>
      </c>
      <c r="N44" s="438" t="str" cm="1">
        <f t="array" ref="N44">IF($C44&gt;0,INDEX('Mijlpaal Berekening'!$C$51:$L$65,$C44,COUNTA($I$18:N$18))*Begroting!$D139,"")</f>
        <v/>
      </c>
      <c r="O44" s="438" t="str" cm="1">
        <f t="array" ref="O44">IF($C44&gt;0,INDEX('Mijlpaal Berekening'!$C$51:$L$65,$C44,COUNTA($I$18:O$18))*Begroting!$D139,"")</f>
        <v/>
      </c>
      <c r="P44" s="438" t="str" cm="1">
        <f t="array" ref="P44">IF($C44&gt;0,INDEX('Mijlpaal Berekening'!$C$51:$L$65,$C44,COUNTA($I$18:P$18))*Begroting!$D139,"")</f>
        <v/>
      </c>
      <c r="R44" s="1082">
        <f>Begroting!H139</f>
        <v>0</v>
      </c>
      <c r="S44" s="417"/>
      <c r="U44" s="418">
        <f t="shared" si="11"/>
        <v>0</v>
      </c>
      <c r="V44" s="418">
        <f t="shared" si="11"/>
        <v>0</v>
      </c>
      <c r="W44" s="418">
        <f t="shared" si="11"/>
        <v>0</v>
      </c>
      <c r="X44" s="418">
        <f t="shared" si="11"/>
        <v>0</v>
      </c>
      <c r="Y44" s="418">
        <f t="shared" si="11"/>
        <v>0</v>
      </c>
      <c r="Z44" s="418">
        <f t="shared" si="11"/>
        <v>0</v>
      </c>
      <c r="AA44" s="418">
        <f t="shared" si="11"/>
        <v>0</v>
      </c>
      <c r="AB44" s="418">
        <f t="shared" si="11"/>
        <v>0</v>
      </c>
      <c r="AC44" s="418">
        <f t="shared" si="11"/>
        <v>0</v>
      </c>
      <c r="AD44" s="418">
        <f t="shared" si="11"/>
        <v>0</v>
      </c>
      <c r="AE44" s="418">
        <f t="shared" si="11"/>
        <v>0</v>
      </c>
      <c r="AF44" s="418">
        <f t="shared" si="11"/>
        <v>0</v>
      </c>
      <c r="AG44" s="418">
        <f t="shared" si="11"/>
        <v>0</v>
      </c>
      <c r="AH44" s="418">
        <f t="shared" si="11"/>
        <v>0</v>
      </c>
      <c r="AI44" s="418">
        <f t="shared" si="11"/>
        <v>0</v>
      </c>
      <c r="AJ44" s="418">
        <f t="shared" si="11"/>
        <v>0</v>
      </c>
      <c r="AK44" s="418">
        <f t="shared" si="10"/>
        <v>0</v>
      </c>
      <c r="AL44" s="418">
        <f t="shared" si="10"/>
        <v>0</v>
      </c>
      <c r="AM44" s="418">
        <f t="shared" si="10"/>
        <v>0</v>
      </c>
      <c r="AN44" s="418">
        <f t="shared" si="10"/>
        <v>0</v>
      </c>
      <c r="AO44" s="418">
        <f t="shared" si="10"/>
        <v>0</v>
      </c>
      <c r="AP44" s="418">
        <f t="shared" si="10"/>
        <v>0</v>
      </c>
      <c r="AQ44" s="418">
        <f t="shared" si="10"/>
        <v>0</v>
      </c>
      <c r="AR44" s="418">
        <f t="shared" si="10"/>
        <v>0</v>
      </c>
      <c r="AS44" s="418">
        <f t="shared" si="10"/>
        <v>0</v>
      </c>
      <c r="AT44" s="418">
        <f t="shared" si="10"/>
        <v>0</v>
      </c>
      <c r="AU44" s="418">
        <f t="shared" si="10"/>
        <v>0</v>
      </c>
      <c r="AV44" s="418">
        <f t="shared" si="10"/>
        <v>0</v>
      </c>
      <c r="AW44" s="418">
        <f t="shared" si="10"/>
        <v>0</v>
      </c>
      <c r="AX44" s="418">
        <f t="shared" si="10"/>
        <v>0</v>
      </c>
      <c r="AY44" s="418">
        <f t="shared" si="10"/>
        <v>0</v>
      </c>
    </row>
    <row r="45" spans="1:51" s="418" customFormat="1" ht="15" customHeight="1" x14ac:dyDescent="0.25">
      <c r="A45" s="428"/>
      <c r="B45" s="436"/>
      <c r="C45" s="437">
        <f>Begroting!B140</f>
        <v>0</v>
      </c>
      <c r="D45" s="437">
        <f>Begroting!C140</f>
        <v>0</v>
      </c>
      <c r="E45" s="437">
        <f>Begroting!E140</f>
        <v>0</v>
      </c>
      <c r="F45" s="437">
        <f t="shared" si="4"/>
        <v>0</v>
      </c>
      <c r="G45" s="437">
        <f t="shared" si="5"/>
        <v>0</v>
      </c>
      <c r="H45" s="437">
        <f t="shared" si="8"/>
        <v>0</v>
      </c>
      <c r="I45" s="438" t="str" cm="1">
        <f t="array" ref="I45">IF($C45&gt;0,INDEX('Mijlpaal Berekening'!$C$51:$L$65,$C45,COUNTA($I$18:I$18))*Begroting!$D140,"")</f>
        <v/>
      </c>
      <c r="J45" s="438" t="str" cm="1">
        <f t="array" ref="J45">IF($C45&gt;0,INDEX('Mijlpaal Berekening'!$C$51:$L$65,$C45,COUNTA($I$18:J$18))*Begroting!$D140,"")</f>
        <v/>
      </c>
      <c r="K45" s="438" t="str" cm="1">
        <f t="array" ref="K45">IF($C45&gt;0,INDEX('Mijlpaal Berekening'!$C$51:$L$65,$C45,COUNTA($I$18:K$18))*Begroting!$D140,"")</f>
        <v/>
      </c>
      <c r="L45" s="438" t="str" cm="1">
        <f t="array" ref="L45">IF($C45&gt;0,INDEX('Mijlpaal Berekening'!$C$51:$L$65,$C45,COUNTA($I$18:L$18))*Begroting!$D140,"")</f>
        <v/>
      </c>
      <c r="M45" s="438" t="str" cm="1">
        <f t="array" ref="M45">IF($C45&gt;0,INDEX('Mijlpaal Berekening'!$C$51:$L$65,$C45,COUNTA($I$18:M$18))*Begroting!$D140,"")</f>
        <v/>
      </c>
      <c r="N45" s="438" t="str" cm="1">
        <f t="array" ref="N45">IF($C45&gt;0,INDEX('Mijlpaal Berekening'!$C$51:$L$65,$C45,COUNTA($I$18:N$18))*Begroting!$D140,"")</f>
        <v/>
      </c>
      <c r="O45" s="438" t="str" cm="1">
        <f t="array" ref="O45">IF($C45&gt;0,INDEX('Mijlpaal Berekening'!$C$51:$L$65,$C45,COUNTA($I$18:O$18))*Begroting!$D140,"")</f>
        <v/>
      </c>
      <c r="P45" s="438" t="str" cm="1">
        <f t="array" ref="P45">IF($C45&gt;0,INDEX('Mijlpaal Berekening'!$C$51:$L$65,$C45,COUNTA($I$18:P$18))*Begroting!$D140,"")</f>
        <v/>
      </c>
      <c r="R45" s="1082">
        <f>Begroting!H140</f>
        <v>0</v>
      </c>
      <c r="S45" s="417" t="str" cm="1">
        <f t="array" ref="S45">IF(AND(SUM(I45:P45&gt;0),R45=0)=TRUE,"aub invullen","")</f>
        <v/>
      </c>
      <c r="U45" s="418">
        <f t="shared" si="11"/>
        <v>0</v>
      </c>
      <c r="V45" s="418">
        <f t="shared" si="11"/>
        <v>0</v>
      </c>
      <c r="W45" s="418">
        <f t="shared" si="11"/>
        <v>0</v>
      </c>
      <c r="X45" s="418">
        <f t="shared" si="11"/>
        <v>0</v>
      </c>
      <c r="Y45" s="418">
        <f t="shared" si="11"/>
        <v>0</v>
      </c>
      <c r="Z45" s="418">
        <f t="shared" si="11"/>
        <v>0</v>
      </c>
      <c r="AA45" s="418">
        <f t="shared" si="11"/>
        <v>0</v>
      </c>
      <c r="AB45" s="418">
        <f t="shared" si="11"/>
        <v>0</v>
      </c>
      <c r="AC45" s="418">
        <f t="shared" si="11"/>
        <v>0</v>
      </c>
      <c r="AD45" s="418">
        <f t="shared" si="11"/>
        <v>0</v>
      </c>
      <c r="AE45" s="418">
        <f t="shared" si="11"/>
        <v>0</v>
      </c>
      <c r="AF45" s="418">
        <f t="shared" si="11"/>
        <v>0</v>
      </c>
      <c r="AG45" s="418">
        <f t="shared" si="11"/>
        <v>0</v>
      </c>
      <c r="AH45" s="418">
        <f t="shared" si="11"/>
        <v>0</v>
      </c>
      <c r="AI45" s="418">
        <f t="shared" si="11"/>
        <v>0</v>
      </c>
      <c r="AJ45" s="418">
        <f t="shared" si="11"/>
        <v>0</v>
      </c>
      <c r="AK45" s="418">
        <f t="shared" si="10"/>
        <v>0</v>
      </c>
      <c r="AL45" s="418">
        <f t="shared" si="10"/>
        <v>0</v>
      </c>
      <c r="AM45" s="418">
        <f t="shared" si="10"/>
        <v>0</v>
      </c>
      <c r="AN45" s="418">
        <f t="shared" si="10"/>
        <v>0</v>
      </c>
      <c r="AO45" s="418">
        <f t="shared" si="10"/>
        <v>0</v>
      </c>
      <c r="AP45" s="418">
        <f t="shared" si="10"/>
        <v>0</v>
      </c>
      <c r="AQ45" s="418">
        <f t="shared" si="10"/>
        <v>0</v>
      </c>
      <c r="AR45" s="418">
        <f t="shared" si="10"/>
        <v>0</v>
      </c>
      <c r="AS45" s="418">
        <f t="shared" si="10"/>
        <v>0</v>
      </c>
      <c r="AT45" s="418">
        <f t="shared" si="10"/>
        <v>0</v>
      </c>
      <c r="AU45" s="418">
        <f t="shared" si="10"/>
        <v>0</v>
      </c>
      <c r="AV45" s="418">
        <f t="shared" si="10"/>
        <v>0</v>
      </c>
      <c r="AW45" s="418">
        <f t="shared" si="10"/>
        <v>0</v>
      </c>
      <c r="AX45" s="418">
        <f t="shared" si="10"/>
        <v>0</v>
      </c>
      <c r="AY45" s="418">
        <f t="shared" si="10"/>
        <v>0</v>
      </c>
    </row>
    <row r="46" spans="1:51" s="418" customFormat="1" ht="15" customHeight="1" x14ac:dyDescent="0.25">
      <c r="A46" s="428"/>
      <c r="B46" s="436"/>
      <c r="C46" s="437">
        <f>Begroting!B141</f>
        <v>0</v>
      </c>
      <c r="D46" s="437">
        <f>Begroting!C141</f>
        <v>0</v>
      </c>
      <c r="E46" s="437">
        <f>Begroting!E141</f>
        <v>0</v>
      </c>
      <c r="F46" s="437">
        <f t="shared" si="4"/>
        <v>0</v>
      </c>
      <c r="G46" s="437">
        <f t="shared" si="5"/>
        <v>0</v>
      </c>
      <c r="H46" s="437">
        <f t="shared" si="8"/>
        <v>0</v>
      </c>
      <c r="I46" s="438" t="str" cm="1">
        <f t="array" ref="I46">IF($C46&gt;0,INDEX('Mijlpaal Berekening'!$C$51:$L$65,$C46,COUNTA($I$18:I$18))*Begroting!$D141,"")</f>
        <v/>
      </c>
      <c r="J46" s="438" t="str" cm="1">
        <f t="array" ref="J46">IF($C46&gt;0,INDEX('Mijlpaal Berekening'!$C$51:$L$65,$C46,COUNTA($I$18:J$18))*Begroting!$D141,"")</f>
        <v/>
      </c>
      <c r="K46" s="438" t="str" cm="1">
        <f t="array" ref="K46">IF($C46&gt;0,INDEX('Mijlpaal Berekening'!$C$51:$L$65,$C46,COUNTA($I$18:K$18))*Begroting!$D141,"")</f>
        <v/>
      </c>
      <c r="L46" s="438" t="str" cm="1">
        <f t="array" ref="L46">IF($C46&gt;0,INDEX('Mijlpaal Berekening'!$C$51:$L$65,$C46,COUNTA($I$18:L$18))*Begroting!$D141,"")</f>
        <v/>
      </c>
      <c r="M46" s="438" t="str" cm="1">
        <f t="array" ref="M46">IF($C46&gt;0,INDEX('Mijlpaal Berekening'!$C$51:$L$65,$C46,COUNTA($I$18:M$18))*Begroting!$D141,"")</f>
        <v/>
      </c>
      <c r="N46" s="438" t="str" cm="1">
        <f t="array" ref="N46">IF($C46&gt;0,INDEX('Mijlpaal Berekening'!$C$51:$L$65,$C46,COUNTA($I$18:N$18))*Begroting!$D141,"")</f>
        <v/>
      </c>
      <c r="O46" s="438" t="str" cm="1">
        <f t="array" ref="O46">IF($C46&gt;0,INDEX('Mijlpaal Berekening'!$C$51:$L$65,$C46,COUNTA($I$18:O$18))*Begroting!$D141,"")</f>
        <v/>
      </c>
      <c r="P46" s="438" t="str" cm="1">
        <f t="array" ref="P46">IF($C46&gt;0,INDEX('Mijlpaal Berekening'!$C$51:$L$65,$C46,COUNTA($I$18:P$18))*Begroting!$D141,"")</f>
        <v/>
      </c>
      <c r="R46" s="1082">
        <f>Begroting!H141</f>
        <v>0</v>
      </c>
      <c r="S46" s="417" t="str" cm="1">
        <f t="array" ref="S46">IF(AND(SUM(I46:P46&gt;0),R46=0)=TRUE,"aub invullen","")</f>
        <v/>
      </c>
      <c r="U46" s="418">
        <f t="shared" si="11"/>
        <v>0</v>
      </c>
      <c r="V46" s="418">
        <f t="shared" si="11"/>
        <v>0</v>
      </c>
      <c r="W46" s="418">
        <f t="shared" si="11"/>
        <v>0</v>
      </c>
      <c r="X46" s="418">
        <f t="shared" si="11"/>
        <v>0</v>
      </c>
      <c r="Y46" s="418">
        <f t="shared" si="11"/>
        <v>0</v>
      </c>
      <c r="Z46" s="418">
        <f t="shared" si="11"/>
        <v>0</v>
      </c>
      <c r="AA46" s="418">
        <f t="shared" si="11"/>
        <v>0</v>
      </c>
      <c r="AB46" s="418">
        <f t="shared" si="11"/>
        <v>0</v>
      </c>
      <c r="AC46" s="418">
        <f t="shared" si="11"/>
        <v>0</v>
      </c>
      <c r="AD46" s="418">
        <f t="shared" si="11"/>
        <v>0</v>
      </c>
      <c r="AE46" s="418">
        <f t="shared" si="11"/>
        <v>0</v>
      </c>
      <c r="AF46" s="418">
        <f t="shared" si="11"/>
        <v>0</v>
      </c>
      <c r="AG46" s="418">
        <f t="shared" si="11"/>
        <v>0</v>
      </c>
      <c r="AH46" s="418">
        <f t="shared" si="11"/>
        <v>0</v>
      </c>
      <c r="AI46" s="418">
        <f t="shared" si="11"/>
        <v>0</v>
      </c>
      <c r="AJ46" s="418">
        <f t="shared" si="11"/>
        <v>0</v>
      </c>
      <c r="AK46" s="418">
        <f t="shared" si="10"/>
        <v>0</v>
      </c>
      <c r="AL46" s="418">
        <f t="shared" si="10"/>
        <v>0</v>
      </c>
      <c r="AM46" s="418">
        <f t="shared" si="10"/>
        <v>0</v>
      </c>
      <c r="AN46" s="418">
        <f t="shared" si="10"/>
        <v>0</v>
      </c>
      <c r="AO46" s="418">
        <f t="shared" si="10"/>
        <v>0</v>
      </c>
      <c r="AP46" s="418">
        <f t="shared" si="10"/>
        <v>0</v>
      </c>
      <c r="AQ46" s="418">
        <f t="shared" si="10"/>
        <v>0</v>
      </c>
      <c r="AR46" s="418">
        <f t="shared" si="10"/>
        <v>0</v>
      </c>
      <c r="AS46" s="418">
        <f t="shared" si="10"/>
        <v>0</v>
      </c>
      <c r="AT46" s="418">
        <f t="shared" si="10"/>
        <v>0</v>
      </c>
      <c r="AU46" s="418">
        <f t="shared" si="10"/>
        <v>0</v>
      </c>
      <c r="AV46" s="418">
        <f t="shared" si="10"/>
        <v>0</v>
      </c>
      <c r="AW46" s="418">
        <f t="shared" si="10"/>
        <v>0</v>
      </c>
      <c r="AX46" s="418">
        <f t="shared" si="10"/>
        <v>0</v>
      </c>
      <c r="AY46" s="418">
        <f t="shared" si="10"/>
        <v>0</v>
      </c>
    </row>
    <row r="47" spans="1:51" s="418" customFormat="1" ht="15" customHeight="1" x14ac:dyDescent="0.25">
      <c r="A47" s="428"/>
      <c r="B47" s="436"/>
      <c r="C47" s="437">
        <f>Begroting!B142</f>
        <v>0</v>
      </c>
      <c r="D47" s="437">
        <f>Begroting!C142</f>
        <v>0</v>
      </c>
      <c r="E47" s="437">
        <f>Begroting!E142</f>
        <v>0</v>
      </c>
      <c r="F47" s="437">
        <f t="shared" si="4"/>
        <v>0</v>
      </c>
      <c r="G47" s="437">
        <f t="shared" si="5"/>
        <v>0</v>
      </c>
      <c r="H47" s="437">
        <f t="shared" si="8"/>
        <v>0</v>
      </c>
      <c r="I47" s="438" t="str" cm="1">
        <f t="array" ref="I47">IF($C47&gt;0,INDEX('Mijlpaal Berekening'!$C$51:$L$65,$C47,COUNTA($I$18:I$18))*Begroting!$D142,"")</f>
        <v/>
      </c>
      <c r="J47" s="438" t="str" cm="1">
        <f t="array" ref="J47">IF($C47&gt;0,INDEX('Mijlpaal Berekening'!$C$51:$L$65,$C47,COUNTA($I$18:J$18))*Begroting!$D142,"")</f>
        <v/>
      </c>
      <c r="K47" s="438" t="str" cm="1">
        <f t="array" ref="K47">IF($C47&gt;0,INDEX('Mijlpaal Berekening'!$C$51:$L$65,$C47,COUNTA($I$18:K$18))*Begroting!$D142,"")</f>
        <v/>
      </c>
      <c r="L47" s="438" t="str" cm="1">
        <f t="array" ref="L47">IF($C47&gt;0,INDEX('Mijlpaal Berekening'!$C$51:$L$65,$C47,COUNTA($I$18:L$18))*Begroting!$D142,"")</f>
        <v/>
      </c>
      <c r="M47" s="438" t="str" cm="1">
        <f t="array" ref="M47">IF($C47&gt;0,INDEX('Mijlpaal Berekening'!$C$51:$L$65,$C47,COUNTA($I$18:M$18))*Begroting!$D142,"")</f>
        <v/>
      </c>
      <c r="N47" s="438" t="str" cm="1">
        <f t="array" ref="N47">IF($C47&gt;0,INDEX('Mijlpaal Berekening'!$C$51:$L$65,$C47,COUNTA($I$18:N$18))*Begroting!$D142,"")</f>
        <v/>
      </c>
      <c r="O47" s="438" t="str" cm="1">
        <f t="array" ref="O47">IF($C47&gt;0,INDEX('Mijlpaal Berekening'!$C$51:$L$65,$C47,COUNTA($I$18:O$18))*Begroting!$D142,"")</f>
        <v/>
      </c>
      <c r="P47" s="438" t="str" cm="1">
        <f t="array" ref="P47">IF($C47&gt;0,INDEX('Mijlpaal Berekening'!$C$51:$L$65,$C47,COUNTA($I$18:P$18))*Begroting!$D142,"")</f>
        <v/>
      </c>
      <c r="R47" s="1082">
        <f>Begroting!H142</f>
        <v>0</v>
      </c>
      <c r="S47" s="417" t="str" cm="1">
        <f t="array" ref="S47">IF(AND(SUM(I47:P47&gt;0),R47=0)=TRUE,"aub invullen","")</f>
        <v/>
      </c>
      <c r="U47" s="418">
        <f t="shared" si="11"/>
        <v>0</v>
      </c>
      <c r="V47" s="418">
        <f t="shared" si="11"/>
        <v>0</v>
      </c>
      <c r="W47" s="418">
        <f t="shared" si="11"/>
        <v>0</v>
      </c>
      <c r="X47" s="418">
        <f t="shared" si="11"/>
        <v>0</v>
      </c>
      <c r="Y47" s="418">
        <f t="shared" si="11"/>
        <v>0</v>
      </c>
      <c r="Z47" s="418">
        <f t="shared" si="11"/>
        <v>0</v>
      </c>
      <c r="AA47" s="418">
        <f t="shared" si="11"/>
        <v>0</v>
      </c>
      <c r="AB47" s="418">
        <f t="shared" si="11"/>
        <v>0</v>
      </c>
      <c r="AC47" s="418">
        <f t="shared" si="11"/>
        <v>0</v>
      </c>
      <c r="AD47" s="418">
        <f t="shared" si="11"/>
        <v>0</v>
      </c>
      <c r="AE47" s="418">
        <f t="shared" si="11"/>
        <v>0</v>
      </c>
      <c r="AF47" s="418">
        <f t="shared" si="11"/>
        <v>0</v>
      </c>
      <c r="AG47" s="418">
        <f t="shared" si="11"/>
        <v>0</v>
      </c>
      <c r="AH47" s="418">
        <f t="shared" si="11"/>
        <v>0</v>
      </c>
      <c r="AI47" s="418">
        <f t="shared" si="11"/>
        <v>0</v>
      </c>
      <c r="AJ47" s="418">
        <f t="shared" si="11"/>
        <v>0</v>
      </c>
      <c r="AK47" s="418">
        <f t="shared" si="10"/>
        <v>0</v>
      </c>
      <c r="AL47" s="418">
        <f t="shared" si="10"/>
        <v>0</v>
      </c>
      <c r="AM47" s="418">
        <f t="shared" si="10"/>
        <v>0</v>
      </c>
      <c r="AN47" s="418">
        <f t="shared" si="10"/>
        <v>0</v>
      </c>
      <c r="AO47" s="418">
        <f t="shared" si="10"/>
        <v>0</v>
      </c>
      <c r="AP47" s="418">
        <f t="shared" si="10"/>
        <v>0</v>
      </c>
      <c r="AQ47" s="418">
        <f t="shared" si="10"/>
        <v>0</v>
      </c>
      <c r="AR47" s="418">
        <f t="shared" si="10"/>
        <v>0</v>
      </c>
      <c r="AS47" s="418">
        <f t="shared" si="10"/>
        <v>0</v>
      </c>
      <c r="AT47" s="418">
        <f t="shared" si="10"/>
        <v>0</v>
      </c>
      <c r="AU47" s="418">
        <f t="shared" si="10"/>
        <v>0</v>
      </c>
      <c r="AV47" s="418">
        <f t="shared" si="10"/>
        <v>0</v>
      </c>
      <c r="AW47" s="418">
        <f t="shared" si="10"/>
        <v>0</v>
      </c>
      <c r="AX47" s="418">
        <f t="shared" si="10"/>
        <v>0</v>
      </c>
      <c r="AY47" s="418">
        <f t="shared" si="10"/>
        <v>0</v>
      </c>
    </row>
    <row r="48" spans="1:51" s="418" customFormat="1" ht="15" customHeight="1" x14ac:dyDescent="0.25">
      <c r="A48" s="428"/>
      <c r="B48" s="436"/>
      <c r="C48" s="437">
        <f>Begroting!B143</f>
        <v>0</v>
      </c>
      <c r="D48" s="437">
        <f>Begroting!C143</f>
        <v>0</v>
      </c>
      <c r="E48" s="437">
        <f>Begroting!E143</f>
        <v>0</v>
      </c>
      <c r="F48" s="437">
        <f t="shared" si="4"/>
        <v>0</v>
      </c>
      <c r="G48" s="437">
        <f t="shared" si="5"/>
        <v>0</v>
      </c>
      <c r="H48" s="437">
        <f t="shared" si="8"/>
        <v>0</v>
      </c>
      <c r="I48" s="438" t="str" cm="1">
        <f t="array" ref="I48">IF($C48&gt;0,INDEX('Mijlpaal Berekening'!$C$51:$L$65,$C48,COUNTA($I$18:I$18))*Begroting!$D143,"")</f>
        <v/>
      </c>
      <c r="J48" s="438" t="str" cm="1">
        <f t="array" ref="J48">IF($C48&gt;0,INDEX('Mijlpaal Berekening'!$C$51:$L$65,$C48,COUNTA($I$18:J$18))*Begroting!$D143,"")</f>
        <v/>
      </c>
      <c r="K48" s="438" t="str" cm="1">
        <f t="array" ref="K48">IF($C48&gt;0,INDEX('Mijlpaal Berekening'!$C$51:$L$65,$C48,COUNTA($I$18:K$18))*Begroting!$D143,"")</f>
        <v/>
      </c>
      <c r="L48" s="438" t="str" cm="1">
        <f t="array" ref="L48">IF($C48&gt;0,INDEX('Mijlpaal Berekening'!$C$51:$L$65,$C48,COUNTA($I$18:L$18))*Begroting!$D143,"")</f>
        <v/>
      </c>
      <c r="M48" s="438" t="str" cm="1">
        <f t="array" ref="M48">IF($C48&gt;0,INDEX('Mijlpaal Berekening'!$C$51:$L$65,$C48,COUNTA($I$18:M$18))*Begroting!$D143,"")</f>
        <v/>
      </c>
      <c r="N48" s="438" t="str" cm="1">
        <f t="array" ref="N48">IF($C48&gt;0,INDEX('Mijlpaal Berekening'!$C$51:$L$65,$C48,COUNTA($I$18:N$18))*Begroting!$D143,"")</f>
        <v/>
      </c>
      <c r="O48" s="438" t="str" cm="1">
        <f t="array" ref="O48">IF($C48&gt;0,INDEX('Mijlpaal Berekening'!$C$51:$L$65,$C48,COUNTA($I$18:O$18))*Begroting!$D143,"")</f>
        <v/>
      </c>
      <c r="P48" s="438" t="str" cm="1">
        <f t="array" ref="P48">IF($C48&gt;0,INDEX('Mijlpaal Berekening'!$C$51:$L$65,$C48,COUNTA($I$18:P$18))*Begroting!$D143,"")</f>
        <v/>
      </c>
      <c r="R48" s="1082">
        <f>Begroting!H143</f>
        <v>0</v>
      </c>
      <c r="S48" s="417" t="str" cm="1">
        <f t="array" ref="S48">IF(AND(SUM(I48:P48&gt;0),R48=0)=TRUE,"aub invullen","")</f>
        <v/>
      </c>
      <c r="U48" s="418">
        <f t="shared" si="11"/>
        <v>0</v>
      </c>
      <c r="V48" s="418">
        <f t="shared" si="11"/>
        <v>0</v>
      </c>
      <c r="W48" s="418">
        <f t="shared" si="11"/>
        <v>0</v>
      </c>
      <c r="X48" s="418">
        <f t="shared" si="11"/>
        <v>0</v>
      </c>
      <c r="Y48" s="418">
        <f t="shared" si="11"/>
        <v>0</v>
      </c>
      <c r="Z48" s="418">
        <f t="shared" si="11"/>
        <v>0</v>
      </c>
      <c r="AA48" s="418">
        <f t="shared" si="11"/>
        <v>0</v>
      </c>
      <c r="AB48" s="418">
        <f t="shared" si="11"/>
        <v>0</v>
      </c>
      <c r="AC48" s="418">
        <f t="shared" si="11"/>
        <v>0</v>
      </c>
      <c r="AD48" s="418">
        <f t="shared" si="11"/>
        <v>0</v>
      </c>
      <c r="AE48" s="418">
        <f t="shared" si="11"/>
        <v>0</v>
      </c>
      <c r="AF48" s="418">
        <f t="shared" si="11"/>
        <v>0</v>
      </c>
      <c r="AG48" s="418">
        <f t="shared" si="11"/>
        <v>0</v>
      </c>
      <c r="AH48" s="418">
        <f t="shared" si="11"/>
        <v>0</v>
      </c>
      <c r="AI48" s="418">
        <f t="shared" si="11"/>
        <v>0</v>
      </c>
      <c r="AJ48" s="418">
        <f t="shared" si="11"/>
        <v>0</v>
      </c>
      <c r="AK48" s="418">
        <f t="shared" si="10"/>
        <v>0</v>
      </c>
      <c r="AL48" s="418">
        <f t="shared" si="10"/>
        <v>0</v>
      </c>
      <c r="AM48" s="418">
        <f t="shared" si="10"/>
        <v>0</v>
      </c>
      <c r="AN48" s="418">
        <f t="shared" si="10"/>
        <v>0</v>
      </c>
      <c r="AO48" s="418">
        <f t="shared" si="10"/>
        <v>0</v>
      </c>
      <c r="AP48" s="418">
        <f t="shared" si="10"/>
        <v>0</v>
      </c>
      <c r="AQ48" s="418">
        <f t="shared" si="10"/>
        <v>0</v>
      </c>
      <c r="AR48" s="418">
        <f t="shared" si="10"/>
        <v>0</v>
      </c>
      <c r="AS48" s="418">
        <f t="shared" si="10"/>
        <v>0</v>
      </c>
      <c r="AT48" s="418">
        <f t="shared" si="10"/>
        <v>0</v>
      </c>
      <c r="AU48" s="418">
        <f t="shared" si="10"/>
        <v>0</v>
      </c>
      <c r="AV48" s="418">
        <f t="shared" si="10"/>
        <v>0</v>
      </c>
      <c r="AW48" s="418">
        <f t="shared" si="10"/>
        <v>0</v>
      </c>
      <c r="AX48" s="418">
        <f t="shared" si="10"/>
        <v>0</v>
      </c>
      <c r="AY48" s="418">
        <f t="shared" si="10"/>
        <v>0</v>
      </c>
    </row>
    <row r="49" spans="1:51" s="418" customFormat="1" ht="15" customHeight="1" x14ac:dyDescent="0.25">
      <c r="A49" s="428"/>
      <c r="B49" s="436"/>
      <c r="C49" s="437">
        <f>Begroting!B144</f>
        <v>0</v>
      </c>
      <c r="D49" s="437">
        <f>Begroting!C144</f>
        <v>0</v>
      </c>
      <c r="E49" s="437">
        <f>Begroting!E144</f>
        <v>0</v>
      </c>
      <c r="F49" s="437">
        <f t="shared" si="4"/>
        <v>0</v>
      </c>
      <c r="G49" s="437">
        <f t="shared" si="5"/>
        <v>0</v>
      </c>
      <c r="H49" s="437">
        <f t="shared" si="8"/>
        <v>0</v>
      </c>
      <c r="I49" s="438" t="str" cm="1">
        <f t="array" ref="I49">IF($C49&gt;0,INDEX('Mijlpaal Berekening'!$C$51:$L$65,$C49,COUNTA($I$18:I$18))*Begroting!$D144,"")</f>
        <v/>
      </c>
      <c r="J49" s="438" t="str" cm="1">
        <f t="array" ref="J49">IF($C49&gt;0,INDEX('Mijlpaal Berekening'!$C$51:$L$65,$C49,COUNTA($I$18:J$18))*Begroting!$D144,"")</f>
        <v/>
      </c>
      <c r="K49" s="438" t="str" cm="1">
        <f t="array" ref="K49">IF($C49&gt;0,INDEX('Mijlpaal Berekening'!$C$51:$L$65,$C49,COUNTA($I$18:K$18))*Begroting!$D144,"")</f>
        <v/>
      </c>
      <c r="L49" s="438" t="str" cm="1">
        <f t="array" ref="L49">IF($C49&gt;0,INDEX('Mijlpaal Berekening'!$C$51:$L$65,$C49,COUNTA($I$18:L$18))*Begroting!$D144,"")</f>
        <v/>
      </c>
      <c r="M49" s="438" t="str" cm="1">
        <f t="array" ref="M49">IF($C49&gt;0,INDEX('Mijlpaal Berekening'!$C$51:$L$65,$C49,COUNTA($I$18:M$18))*Begroting!$D144,"")</f>
        <v/>
      </c>
      <c r="N49" s="438" t="str" cm="1">
        <f t="array" ref="N49">IF($C49&gt;0,INDEX('Mijlpaal Berekening'!$C$51:$L$65,$C49,COUNTA($I$18:N$18))*Begroting!$D144,"")</f>
        <v/>
      </c>
      <c r="O49" s="438" t="str" cm="1">
        <f t="array" ref="O49">IF($C49&gt;0,INDEX('Mijlpaal Berekening'!$C$51:$L$65,$C49,COUNTA($I$18:O$18))*Begroting!$D144,"")</f>
        <v/>
      </c>
      <c r="P49" s="438" t="str" cm="1">
        <f t="array" ref="P49">IF($C49&gt;0,INDEX('Mijlpaal Berekening'!$C$51:$L$65,$C49,COUNTA($I$18:P$18))*Begroting!$D144,"")</f>
        <v/>
      </c>
      <c r="R49" s="1082">
        <f>Begroting!H144</f>
        <v>0</v>
      </c>
      <c r="S49" s="417" t="str" cm="1">
        <f t="array" ref="S49">IF(AND(SUM(I49:P49&gt;0),R49=0)=TRUE,"aub invullen","")</f>
        <v/>
      </c>
      <c r="U49" s="418">
        <f t="shared" si="11"/>
        <v>0</v>
      </c>
      <c r="V49" s="418">
        <f t="shared" si="11"/>
        <v>0</v>
      </c>
      <c r="W49" s="418">
        <f t="shared" si="11"/>
        <v>0</v>
      </c>
      <c r="X49" s="418">
        <f t="shared" si="11"/>
        <v>0</v>
      </c>
      <c r="Y49" s="418">
        <f t="shared" si="11"/>
        <v>0</v>
      </c>
      <c r="Z49" s="418">
        <f t="shared" si="11"/>
        <v>0</v>
      </c>
      <c r="AA49" s="418">
        <f t="shared" si="11"/>
        <v>0</v>
      </c>
      <c r="AB49" s="418">
        <f t="shared" si="11"/>
        <v>0</v>
      </c>
      <c r="AC49" s="418">
        <f t="shared" si="11"/>
        <v>0</v>
      </c>
      <c r="AD49" s="418">
        <f t="shared" si="11"/>
        <v>0</v>
      </c>
      <c r="AE49" s="418">
        <f t="shared" si="11"/>
        <v>0</v>
      </c>
      <c r="AF49" s="418">
        <f t="shared" si="11"/>
        <v>0</v>
      </c>
      <c r="AG49" s="418">
        <f t="shared" si="11"/>
        <v>0</v>
      </c>
      <c r="AH49" s="418">
        <f t="shared" si="11"/>
        <v>0</v>
      </c>
      <c r="AI49" s="418">
        <f t="shared" si="11"/>
        <v>0</v>
      </c>
      <c r="AJ49" s="418">
        <f t="shared" si="11"/>
        <v>0</v>
      </c>
      <c r="AK49" s="418">
        <f>SUMIFS($I49:$P49,$I$18:$P$18,"&lt;="&amp;AK$18)</f>
        <v>0</v>
      </c>
      <c r="AL49" s="418">
        <f t="shared" si="10"/>
        <v>0</v>
      </c>
      <c r="AM49" s="418">
        <f t="shared" si="10"/>
        <v>0</v>
      </c>
      <c r="AN49" s="418">
        <f t="shared" si="10"/>
        <v>0</v>
      </c>
      <c r="AO49" s="418">
        <f t="shared" si="10"/>
        <v>0</v>
      </c>
      <c r="AP49" s="418">
        <f t="shared" si="10"/>
        <v>0</v>
      </c>
      <c r="AQ49" s="418">
        <f t="shared" si="10"/>
        <v>0</v>
      </c>
      <c r="AR49" s="418">
        <f t="shared" si="10"/>
        <v>0</v>
      </c>
      <c r="AS49" s="418">
        <f t="shared" si="10"/>
        <v>0</v>
      </c>
      <c r="AT49" s="418">
        <f t="shared" si="10"/>
        <v>0</v>
      </c>
      <c r="AU49" s="418">
        <f t="shared" si="10"/>
        <v>0</v>
      </c>
      <c r="AV49" s="418">
        <f t="shared" si="10"/>
        <v>0</v>
      </c>
      <c r="AW49" s="418">
        <f t="shared" si="10"/>
        <v>0</v>
      </c>
      <c r="AX49" s="418">
        <f t="shared" si="10"/>
        <v>0</v>
      </c>
      <c r="AY49" s="418">
        <f t="shared" si="10"/>
        <v>0</v>
      </c>
    </row>
    <row r="50" spans="1:51" s="418" customFormat="1" ht="15" customHeight="1" x14ac:dyDescent="0.25">
      <c r="A50" s="412"/>
      <c r="B50" s="420"/>
      <c r="P50" s="439"/>
      <c r="Q50" s="420"/>
      <c r="S50" s="417"/>
    </row>
    <row r="51" spans="1:51" s="418" customFormat="1" ht="15" customHeight="1" x14ac:dyDescent="0.25">
      <c r="A51" s="428"/>
      <c r="C51" s="852" t="s">
        <v>512</v>
      </c>
      <c r="D51" s="852"/>
      <c r="E51" s="852"/>
      <c r="F51" s="852"/>
      <c r="G51" s="852"/>
      <c r="H51" s="852"/>
      <c r="I51" s="852"/>
      <c r="J51" s="852"/>
      <c r="K51" s="852"/>
      <c r="L51" s="852"/>
      <c r="M51" s="852"/>
      <c r="N51" s="852"/>
      <c r="O51" s="852"/>
      <c r="P51" s="852"/>
      <c r="Q51" s="852"/>
      <c r="R51" s="852"/>
      <c r="S51" s="417"/>
    </row>
    <row r="52" spans="1:51" s="412" customFormat="1" ht="15" customHeight="1" x14ac:dyDescent="0.25">
      <c r="A52" s="428"/>
      <c r="B52" s="440"/>
      <c r="C52" s="440"/>
      <c r="D52" s="440"/>
      <c r="E52" s="440"/>
      <c r="F52" s="440"/>
      <c r="G52" s="440"/>
      <c r="H52" s="440"/>
      <c r="I52" s="440"/>
      <c r="J52" s="440"/>
      <c r="K52" s="440"/>
      <c r="L52" s="440"/>
      <c r="M52" s="440"/>
      <c r="N52" s="440"/>
      <c r="O52" s="440"/>
      <c r="P52" s="440"/>
      <c r="Q52" s="440"/>
      <c r="R52" s="440"/>
      <c r="S52" s="441"/>
    </row>
    <row r="53" spans="1:51" s="418" customFormat="1" ht="15" customHeight="1" outlineLevel="1" x14ac:dyDescent="0.25">
      <c r="A53" s="412"/>
      <c r="B53" s="420"/>
      <c r="C53" s="442" t="s">
        <v>513</v>
      </c>
      <c r="D53" s="443"/>
      <c r="E53" s="443"/>
      <c r="F53" s="443"/>
      <c r="G53" s="443"/>
      <c r="H53" s="443"/>
      <c r="I53" s="443"/>
      <c r="J53" s="444" t="s">
        <v>408</v>
      </c>
      <c r="K53" s="443"/>
      <c r="L53" s="443"/>
      <c r="M53" s="443"/>
      <c r="N53" s="443"/>
      <c r="O53" s="443"/>
      <c r="P53" s="445"/>
      <c r="Q53" s="443"/>
      <c r="R53" s="445"/>
      <c r="S53" s="446"/>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443"/>
      <c r="AQ53" s="443"/>
      <c r="AR53" s="443"/>
      <c r="AS53" s="443"/>
      <c r="AT53" s="443"/>
      <c r="AU53" s="443"/>
      <c r="AV53" s="443"/>
      <c r="AW53" s="443"/>
      <c r="AX53" s="443"/>
      <c r="AY53" s="446"/>
    </row>
    <row r="54" spans="1:51" s="418" customFormat="1" ht="15" customHeight="1" outlineLevel="1" x14ac:dyDescent="0.25">
      <c r="A54" s="412"/>
      <c r="B54" s="420"/>
      <c r="C54" s="447" t="s">
        <v>514</v>
      </c>
      <c r="D54" s="448"/>
      <c r="E54" s="856"/>
      <c r="F54" s="448"/>
      <c r="G54" s="448"/>
      <c r="H54" s="448"/>
      <c r="I54" s="448"/>
      <c r="J54" s="448" t="s">
        <v>510</v>
      </c>
      <c r="K54" s="448"/>
      <c r="L54" s="448" t="s">
        <v>515</v>
      </c>
      <c r="M54" s="448"/>
      <c r="N54" s="449">
        <f>SUM(U54:AY54)</f>
        <v>0</v>
      </c>
      <c r="O54" s="448" t="s">
        <v>510</v>
      </c>
      <c r="P54" s="450"/>
      <c r="Q54" s="448"/>
      <c r="R54" s="450"/>
      <c r="S54" s="451"/>
      <c r="T54" s="448"/>
      <c r="U54" s="452">
        <f>SUMPRODUCT(U20:U49,$F20:$F49)-SUM($T54:T54)</f>
        <v>0</v>
      </c>
      <c r="V54" s="452">
        <f>SUMPRODUCT(V20:V49,$F20:$F49)-SUM($T54:U54)</f>
        <v>0</v>
      </c>
      <c r="W54" s="452">
        <f>SUMPRODUCT(W20:W49,$F20:$F49)-SUM($T54:V54)</f>
        <v>0</v>
      </c>
      <c r="X54" s="452">
        <f>SUMPRODUCT(X20:X49,$F20:$F49)-SUM($T54:W54)</f>
        <v>0</v>
      </c>
      <c r="Y54" s="452">
        <f>SUMPRODUCT(Y20:Y49,$F20:$F49)-SUM($T54:X54)</f>
        <v>0</v>
      </c>
      <c r="Z54" s="452">
        <f>SUMPRODUCT(Z20:Z49,$F20:$F49)-SUM($T54:Y54)</f>
        <v>0</v>
      </c>
      <c r="AA54" s="452">
        <f>SUMPRODUCT(AA20:AA49,$F20:$F49)-SUM($T54:Z54)</f>
        <v>0</v>
      </c>
      <c r="AB54" s="452">
        <f>SUMPRODUCT(AB20:AB49,$F20:$F49)-SUM($T54:AA54)</f>
        <v>0</v>
      </c>
      <c r="AC54" s="452">
        <f>SUMPRODUCT(AC20:AC49,$F20:$F49)-SUM($T54:AB54)</f>
        <v>0</v>
      </c>
      <c r="AD54" s="452">
        <f>SUMPRODUCT(AD20:AD49,$F20:$F49)-SUM($T54:AC54)</f>
        <v>0</v>
      </c>
      <c r="AE54" s="452">
        <f>SUMPRODUCT(AE20:AE49,$F20:$F49)-SUM($T54:AD54)</f>
        <v>0</v>
      </c>
      <c r="AF54" s="452">
        <f>SUMPRODUCT(AF20:AF49,$F20:$F49)-SUM($T54:AE54)</f>
        <v>0</v>
      </c>
      <c r="AG54" s="452">
        <f>SUMPRODUCT(AG20:AG49,$F20:$F49)-SUM($T54:AF54)</f>
        <v>0</v>
      </c>
      <c r="AH54" s="452">
        <f>SUMPRODUCT(AH20:AH49,$F20:$F49)-SUM($T54:AG54)</f>
        <v>0</v>
      </c>
      <c r="AI54" s="452">
        <f>SUMPRODUCT(AI20:AI49,$F20:$F49)-SUM($T54:AH54)</f>
        <v>0</v>
      </c>
      <c r="AJ54" s="452">
        <f>SUMPRODUCT(AJ20:AJ49,$F20:$F49)-SUM($T54:AI54)</f>
        <v>0</v>
      </c>
      <c r="AK54" s="452">
        <f>SUMPRODUCT(AK20:AK49,$F20:$F49)-SUM($T54:AJ54)</f>
        <v>0</v>
      </c>
      <c r="AL54" s="452">
        <f>SUMPRODUCT(AL20:AL49,$F20:$F49)-SUM($T54:AK54)</f>
        <v>0</v>
      </c>
      <c r="AM54" s="452">
        <f>SUMPRODUCT(AM20:AM49,$F20:$F49)-SUM($T54:AL54)</f>
        <v>0</v>
      </c>
      <c r="AN54" s="452">
        <f>SUMPRODUCT(AN20:AN49,$F20:$F49)-SUM($T54:AM54)</f>
        <v>0</v>
      </c>
      <c r="AO54" s="452">
        <f>SUMPRODUCT(AO20:AO49,$F20:$F49)-SUM($T54:AN54)</f>
        <v>0</v>
      </c>
      <c r="AP54" s="452">
        <f>SUMPRODUCT(AP20:AP49,$F20:$F49)-SUM($T54:AO54)</f>
        <v>0</v>
      </c>
      <c r="AQ54" s="452">
        <f>SUMPRODUCT(AQ20:AQ49,$F20:$F49)-SUM($T54:AP54)</f>
        <v>0</v>
      </c>
      <c r="AR54" s="452">
        <f>SUMPRODUCT(AR20:AR49,$F20:$F49)-SUM($T54:AQ54)</f>
        <v>0</v>
      </c>
      <c r="AS54" s="452">
        <f>SUMPRODUCT(AS20:AS49,$F20:$F49)-SUM($T54:AR54)</f>
        <v>0</v>
      </c>
      <c r="AT54" s="452">
        <f>SUMPRODUCT(AT20:AT49,$F20:$F49)-SUM($T54:AS54)</f>
        <v>0</v>
      </c>
      <c r="AU54" s="452">
        <f>SUMPRODUCT(AU20:AU49,$F20:$F49)-SUM($T54:AT54)</f>
        <v>0</v>
      </c>
      <c r="AV54" s="452">
        <f>SUMPRODUCT(AV20:AV49,$F20:$F49)-SUM($T54:AU54)</f>
        <v>0</v>
      </c>
      <c r="AW54" s="452">
        <f>SUMPRODUCT(AW20:AW49,$F20:$F49)-SUM($T54:AV54)</f>
        <v>0</v>
      </c>
      <c r="AX54" s="452">
        <f>SUMPRODUCT(AX20:AX49,$F20:$F49)-SUM($T54:AW54)</f>
        <v>0</v>
      </c>
      <c r="AY54" s="453">
        <f>SUMPRODUCT(AY20:AY49,$F20:$F49)-SUM($T54:AX54)</f>
        <v>0</v>
      </c>
    </row>
    <row r="55" spans="1:51" s="418" customFormat="1" ht="15" customHeight="1" outlineLevel="1" x14ac:dyDescent="0.25">
      <c r="A55" s="412"/>
      <c r="B55" s="420"/>
      <c r="C55" s="447" t="s">
        <v>516</v>
      </c>
      <c r="D55" s="454"/>
      <c r="E55" s="856"/>
      <c r="F55" s="448"/>
      <c r="G55" s="448"/>
      <c r="H55" s="448"/>
      <c r="I55" s="448"/>
      <c r="J55" s="448" t="s">
        <v>510</v>
      </c>
      <c r="K55" s="448"/>
      <c r="L55" s="448"/>
      <c r="M55" s="448"/>
      <c r="N55" s="448"/>
      <c r="O55" s="448"/>
      <c r="P55" s="448"/>
      <c r="Q55" s="448"/>
      <c r="R55" s="448"/>
      <c r="S55" s="451"/>
      <c r="T55" s="448"/>
      <c r="U55" s="452">
        <f>SUM($U54:U54)</f>
        <v>0</v>
      </c>
      <c r="V55" s="452">
        <f>SUM($U54:V54)</f>
        <v>0</v>
      </c>
      <c r="W55" s="452">
        <f>SUM($U54:W54)</f>
        <v>0</v>
      </c>
      <c r="X55" s="452">
        <f>SUM($U54:X54)</f>
        <v>0</v>
      </c>
      <c r="Y55" s="452">
        <f>SUM($U54:Y54)</f>
        <v>0</v>
      </c>
      <c r="Z55" s="452">
        <f>SUM($U54:Z54)</f>
        <v>0</v>
      </c>
      <c r="AA55" s="452">
        <f>SUM($U54:AA54)</f>
        <v>0</v>
      </c>
      <c r="AB55" s="452">
        <f>SUM($U54:AB54)</f>
        <v>0</v>
      </c>
      <c r="AC55" s="452">
        <f>SUM($U54:AC54)</f>
        <v>0</v>
      </c>
      <c r="AD55" s="452">
        <f>SUM($U54:AD54)</f>
        <v>0</v>
      </c>
      <c r="AE55" s="452">
        <f>SUM($U54:AE54)</f>
        <v>0</v>
      </c>
      <c r="AF55" s="452">
        <f>SUM($U54:AF54)</f>
        <v>0</v>
      </c>
      <c r="AG55" s="452">
        <f>SUM($U54:AG54)</f>
        <v>0</v>
      </c>
      <c r="AH55" s="452">
        <f>SUM($U54:AH54)</f>
        <v>0</v>
      </c>
      <c r="AI55" s="452">
        <f>SUM($U54:AI54)</f>
        <v>0</v>
      </c>
      <c r="AJ55" s="452">
        <f>SUM($U54:AJ54)</f>
        <v>0</v>
      </c>
      <c r="AK55" s="452">
        <f>SUM($U54:AK54)</f>
        <v>0</v>
      </c>
      <c r="AL55" s="452">
        <f>SUM($U54:AL54)</f>
        <v>0</v>
      </c>
      <c r="AM55" s="452">
        <f>SUM($U54:AM54)</f>
        <v>0</v>
      </c>
      <c r="AN55" s="452">
        <f>SUM($U54:AN54)</f>
        <v>0</v>
      </c>
      <c r="AO55" s="452">
        <f>SUM($U54:AO54)</f>
        <v>0</v>
      </c>
      <c r="AP55" s="452">
        <f>SUM($U54:AP54)</f>
        <v>0</v>
      </c>
      <c r="AQ55" s="452">
        <f>SUM($U54:AQ54)</f>
        <v>0</v>
      </c>
      <c r="AR55" s="452">
        <f>SUM($U54:AR54)</f>
        <v>0</v>
      </c>
      <c r="AS55" s="452">
        <f>SUM($U54:AS54)</f>
        <v>0</v>
      </c>
      <c r="AT55" s="452">
        <f>SUM($U54:AT54)</f>
        <v>0</v>
      </c>
      <c r="AU55" s="452">
        <f>SUM($U54:AU54)</f>
        <v>0</v>
      </c>
      <c r="AV55" s="452">
        <f>SUM($U54:AV54)</f>
        <v>0</v>
      </c>
      <c r="AW55" s="452">
        <f>SUM($U54:AW54)</f>
        <v>0</v>
      </c>
      <c r="AX55" s="452">
        <f>SUM($U54:AX54)</f>
        <v>0</v>
      </c>
      <c r="AY55" s="455">
        <f>SUM($U54:AY54)</f>
        <v>0</v>
      </c>
    </row>
    <row r="56" spans="1:51" s="418" customFormat="1" ht="15" customHeight="1" outlineLevel="1" x14ac:dyDescent="0.25">
      <c r="A56" s="412"/>
      <c r="B56" s="420"/>
      <c r="C56" s="462" t="s">
        <v>517</v>
      </c>
      <c r="D56" s="456"/>
      <c r="E56" s="856"/>
      <c r="F56" s="457"/>
      <c r="G56" s="457"/>
      <c r="H56" s="457"/>
      <c r="I56" s="457"/>
      <c r="J56" s="457" t="s">
        <v>518</v>
      </c>
      <c r="K56" s="457"/>
      <c r="L56" s="457"/>
      <c r="M56" s="457"/>
      <c r="N56" s="457"/>
      <c r="O56" s="457"/>
      <c r="P56" s="457"/>
      <c r="Q56" s="457"/>
      <c r="R56" s="457"/>
      <c r="S56" s="458"/>
      <c r="T56" s="457"/>
      <c r="U56" s="452"/>
      <c r="V56" s="459">
        <f t="shared" ref="V56:AY56" si="12">SUMPRODUCT(U20:U49,$R$20:$R$49,$F20:$F49)</f>
        <v>0</v>
      </c>
      <c r="W56" s="459">
        <f t="shared" si="12"/>
        <v>0</v>
      </c>
      <c r="X56" s="459">
        <f>SUMPRODUCT(W20:W49,$R$20:$R$49,$F20:$F49)</f>
        <v>0</v>
      </c>
      <c r="Y56" s="459">
        <f t="shared" si="12"/>
        <v>0</v>
      </c>
      <c r="Z56" s="459">
        <f t="shared" si="12"/>
        <v>0</v>
      </c>
      <c r="AA56" s="459">
        <f t="shared" si="12"/>
        <v>0</v>
      </c>
      <c r="AB56" s="459">
        <f t="shared" si="12"/>
        <v>0</v>
      </c>
      <c r="AC56" s="459">
        <f t="shared" si="12"/>
        <v>0</v>
      </c>
      <c r="AD56" s="459">
        <f t="shared" si="12"/>
        <v>0</v>
      </c>
      <c r="AE56" s="459">
        <f t="shared" si="12"/>
        <v>0</v>
      </c>
      <c r="AF56" s="459">
        <f t="shared" si="12"/>
        <v>0</v>
      </c>
      <c r="AG56" s="459">
        <f t="shared" si="12"/>
        <v>0</v>
      </c>
      <c r="AH56" s="459">
        <f t="shared" si="12"/>
        <v>0</v>
      </c>
      <c r="AI56" s="459">
        <f t="shared" si="12"/>
        <v>0</v>
      </c>
      <c r="AJ56" s="459">
        <f t="shared" si="12"/>
        <v>0</v>
      </c>
      <c r="AK56" s="459">
        <f t="shared" si="12"/>
        <v>0</v>
      </c>
      <c r="AL56" s="459">
        <f t="shared" si="12"/>
        <v>0</v>
      </c>
      <c r="AM56" s="459">
        <f t="shared" si="12"/>
        <v>0</v>
      </c>
      <c r="AN56" s="459">
        <f t="shared" si="12"/>
        <v>0</v>
      </c>
      <c r="AO56" s="459">
        <f t="shared" si="12"/>
        <v>0</v>
      </c>
      <c r="AP56" s="459">
        <f t="shared" si="12"/>
        <v>0</v>
      </c>
      <c r="AQ56" s="459">
        <f t="shared" si="12"/>
        <v>0</v>
      </c>
      <c r="AR56" s="459">
        <f t="shared" si="12"/>
        <v>0</v>
      </c>
      <c r="AS56" s="459">
        <f t="shared" si="12"/>
        <v>0</v>
      </c>
      <c r="AT56" s="459">
        <f t="shared" si="12"/>
        <v>0</v>
      </c>
      <c r="AU56" s="459">
        <f t="shared" si="12"/>
        <v>0</v>
      </c>
      <c r="AV56" s="459">
        <f t="shared" si="12"/>
        <v>0</v>
      </c>
      <c r="AW56" s="459">
        <f t="shared" si="12"/>
        <v>0</v>
      </c>
      <c r="AX56" s="459">
        <f t="shared" si="12"/>
        <v>0</v>
      </c>
      <c r="AY56" s="460">
        <f t="shared" si="12"/>
        <v>0</v>
      </c>
    </row>
    <row r="57" spans="1:51" s="418" customFormat="1" ht="15" customHeight="1" outlineLevel="1" x14ac:dyDescent="0.25">
      <c r="A57" s="412"/>
      <c r="B57" s="420"/>
      <c r="C57" s="442" t="s">
        <v>519</v>
      </c>
      <c r="D57" s="443"/>
      <c r="E57" s="443"/>
      <c r="F57" s="443"/>
      <c r="G57" s="443"/>
      <c r="H57" s="443"/>
      <c r="I57" s="443"/>
      <c r="J57" s="444" t="s">
        <v>408</v>
      </c>
      <c r="K57" s="443"/>
      <c r="L57" s="443"/>
      <c r="M57" s="443"/>
      <c r="N57" s="443"/>
      <c r="O57" s="443"/>
      <c r="P57" s="445"/>
      <c r="Q57" s="443"/>
      <c r="R57" s="445"/>
      <c r="S57" s="446"/>
      <c r="T57" s="443"/>
      <c r="U57" s="443"/>
      <c r="V57" s="443"/>
      <c r="W57" s="443"/>
      <c r="X57" s="443"/>
      <c r="Y57" s="443"/>
      <c r="Z57" s="443"/>
      <c r="AA57" s="443"/>
      <c r="AB57" s="443"/>
      <c r="AC57" s="443"/>
      <c r="AD57" s="443"/>
      <c r="AE57" s="443"/>
      <c r="AF57" s="443"/>
      <c r="AG57" s="443"/>
      <c r="AH57" s="443"/>
      <c r="AI57" s="443"/>
      <c r="AJ57" s="443"/>
      <c r="AK57" s="443"/>
      <c r="AL57" s="443"/>
      <c r="AM57" s="443"/>
      <c r="AN57" s="443"/>
      <c r="AO57" s="443"/>
      <c r="AP57" s="443"/>
      <c r="AQ57" s="443"/>
      <c r="AR57" s="443"/>
      <c r="AS57" s="443"/>
      <c r="AT57" s="443"/>
      <c r="AU57" s="443"/>
      <c r="AV57" s="443"/>
      <c r="AW57" s="443"/>
      <c r="AX57" s="443"/>
      <c r="AY57" s="446"/>
    </row>
    <row r="58" spans="1:51" s="418" customFormat="1" ht="15" customHeight="1" outlineLevel="1" x14ac:dyDescent="0.25">
      <c r="A58" s="412"/>
      <c r="B58" s="420"/>
      <c r="C58" s="857" t="s">
        <v>520</v>
      </c>
      <c r="D58" s="858"/>
      <c r="E58" s="859"/>
      <c r="F58" s="858"/>
      <c r="G58" s="858"/>
      <c r="H58" s="858"/>
      <c r="I58" s="858"/>
      <c r="J58" s="858" t="s">
        <v>510</v>
      </c>
      <c r="K58" s="858"/>
      <c r="L58" s="858" t="s">
        <v>521</v>
      </c>
      <c r="M58" s="858"/>
      <c r="N58" s="860">
        <f>SUM(U58:AY58)</f>
        <v>0</v>
      </c>
      <c r="O58" s="858" t="s">
        <v>510</v>
      </c>
      <c r="P58" s="861"/>
      <c r="Q58" s="858"/>
      <c r="R58" s="861"/>
      <c r="S58" s="862"/>
      <c r="T58" s="448"/>
      <c r="U58" s="452">
        <f>SUMPRODUCT(U20:U49,$G20:$G49)-SUM($T58:T58)</f>
        <v>0</v>
      </c>
      <c r="V58" s="452">
        <f>SUMPRODUCT(V20:V49,$G20:$G49)-SUM($T58:U58)</f>
        <v>0</v>
      </c>
      <c r="W58" s="452">
        <f>SUMPRODUCT(W20:W49,$G20:$G49)-SUM($T58:V58)</f>
        <v>0</v>
      </c>
      <c r="X58" s="452">
        <f>SUMPRODUCT(X20:X49,$G20:$G49)-SUM($T58:W58)</f>
        <v>0</v>
      </c>
      <c r="Y58" s="452">
        <f>SUMPRODUCT(Y20:Y49,$G20:$G49)-SUM($T58:X58)</f>
        <v>0</v>
      </c>
      <c r="Z58" s="452">
        <f>SUMPRODUCT(Z20:Z49,$G20:$G49)-SUM($T58:Y58)</f>
        <v>0</v>
      </c>
      <c r="AA58" s="452">
        <f>SUMPRODUCT(AA20:AA49,$G20:$G49)-SUM($T58:Z58)</f>
        <v>0</v>
      </c>
      <c r="AB58" s="452">
        <f>SUMPRODUCT(AB20:AB49,$G20:$G49)-SUM($T58:AA58)</f>
        <v>0</v>
      </c>
      <c r="AC58" s="452">
        <f>SUMPRODUCT(AC20:AC49,$G20:$G49)-SUM($T58:AB58)</f>
        <v>0</v>
      </c>
      <c r="AD58" s="452">
        <f>SUMPRODUCT(AD20:AD49,$G20:$G49)-SUM($T58:AC58)</f>
        <v>0</v>
      </c>
      <c r="AE58" s="452">
        <f>SUMPRODUCT(AE20:AE49,$G20:$G49)-SUM($T58:AD58)</f>
        <v>0</v>
      </c>
      <c r="AF58" s="452">
        <f>SUMPRODUCT(AF20:AF49,$G20:$G49)-SUM($T58:AE58)</f>
        <v>0</v>
      </c>
      <c r="AG58" s="452">
        <f>SUMPRODUCT(AG20:AG49,$G20:$G49)-SUM($T58:AF58)</f>
        <v>0</v>
      </c>
      <c r="AH58" s="452">
        <f>SUMPRODUCT(AH20:AH49,$G20:$G49)-SUM($T58:AG58)</f>
        <v>0</v>
      </c>
      <c r="AI58" s="452">
        <f>SUMPRODUCT(AI20:AI49,$G20:$G49)-SUM($T58:AH58)</f>
        <v>0</v>
      </c>
      <c r="AJ58" s="452">
        <f>SUMPRODUCT(AJ20:AJ49,$G20:$G49)-SUM($T58:AI58)</f>
        <v>0</v>
      </c>
      <c r="AK58" s="452">
        <f>SUMPRODUCT(AK20:AK49,$G20:$G49)-SUM($T58:AJ58)</f>
        <v>0</v>
      </c>
      <c r="AL58" s="452">
        <f>SUMPRODUCT(AL20:AL49,$G20:$G49)-SUM($T58:AK58)</f>
        <v>0</v>
      </c>
      <c r="AM58" s="452">
        <f>SUMPRODUCT(AM20:AM49,$G20:$G49)-SUM($T58:AL58)</f>
        <v>0</v>
      </c>
      <c r="AN58" s="452">
        <f>SUMPRODUCT(AN20:AN49,$G20:$G49)-SUM($T58:AM58)</f>
        <v>0</v>
      </c>
      <c r="AO58" s="452">
        <f>SUMPRODUCT(AO20:AO49,$G20:$G49)-SUM($T58:AN58)</f>
        <v>0</v>
      </c>
      <c r="AP58" s="452">
        <f>SUMPRODUCT(AP20:AP49,$G20:$G49)-SUM($T58:AO58)</f>
        <v>0</v>
      </c>
      <c r="AQ58" s="452">
        <f>SUMPRODUCT(AQ20:AQ49,$G20:$G49)-SUM($T58:AP58)</f>
        <v>0</v>
      </c>
      <c r="AR58" s="452">
        <f>SUMPRODUCT(AR20:AR49,$G20:$G49)-SUM($T58:AQ58)</f>
        <v>0</v>
      </c>
      <c r="AS58" s="452">
        <f>SUMPRODUCT(AS20:AS49,$G20:$G49)-SUM($T58:AR58)</f>
        <v>0</v>
      </c>
      <c r="AT58" s="452">
        <f>SUMPRODUCT(AT20:AT49,$G20:$G49)-SUM($T58:AS58)</f>
        <v>0</v>
      </c>
      <c r="AU58" s="452">
        <f>SUMPRODUCT(AU20:AU49,$G20:$G49)-SUM($T58:AT58)</f>
        <v>0</v>
      </c>
      <c r="AV58" s="452">
        <f>SUMPRODUCT(AV20:AV49,$G20:$G49)-SUM($T58:AU58)</f>
        <v>0</v>
      </c>
      <c r="AW58" s="452">
        <f>SUMPRODUCT(AW20:AW49,$G20:$G49)-SUM($T58:AV58)</f>
        <v>0</v>
      </c>
      <c r="AX58" s="452">
        <f>SUMPRODUCT(AX20:AX49,$G20:$G49)-SUM($T58:AW58)</f>
        <v>0</v>
      </c>
      <c r="AY58" s="452">
        <f>SUMPRODUCT(AY20:AY49,$G20:$G49)-SUM($T58:AX58)</f>
        <v>0</v>
      </c>
    </row>
    <row r="59" spans="1:51" s="418" customFormat="1" ht="15" customHeight="1" outlineLevel="1" x14ac:dyDescent="0.25">
      <c r="A59" s="412"/>
      <c r="B59" s="420"/>
      <c r="C59" s="447" t="s">
        <v>522</v>
      </c>
      <c r="D59" s="454"/>
      <c r="E59" s="863"/>
      <c r="F59" s="448"/>
      <c r="G59" s="448"/>
      <c r="H59" s="448"/>
      <c r="I59" s="448"/>
      <c r="J59" s="448" t="s">
        <v>510</v>
      </c>
      <c r="K59" s="448"/>
      <c r="L59" s="448"/>
      <c r="M59" s="448"/>
      <c r="N59" s="448"/>
      <c r="O59" s="448"/>
      <c r="P59" s="448"/>
      <c r="Q59" s="448"/>
      <c r="R59" s="448"/>
      <c r="S59" s="451"/>
      <c r="T59" s="448"/>
      <c r="U59" s="461">
        <f>SUM($U58:U58)</f>
        <v>0</v>
      </c>
      <c r="V59" s="461">
        <f>SUM($U58:V58)</f>
        <v>0</v>
      </c>
      <c r="W59" s="452">
        <f>SUM($U58:W58)</f>
        <v>0</v>
      </c>
      <c r="X59" s="452">
        <f>SUM($U58:X58)</f>
        <v>0</v>
      </c>
      <c r="Y59" s="452">
        <f>SUM($U58:Y58)</f>
        <v>0</v>
      </c>
      <c r="Z59" s="452">
        <f>SUM($U58:Z58)</f>
        <v>0</v>
      </c>
      <c r="AA59" s="452">
        <f>SUM($U58:AA58)</f>
        <v>0</v>
      </c>
      <c r="AB59" s="452">
        <f>SUM($U58:AB58)</f>
        <v>0</v>
      </c>
      <c r="AC59" s="452">
        <f>SUM($U58:AC58)</f>
        <v>0</v>
      </c>
      <c r="AD59" s="452">
        <f>SUM($U58:AD58)</f>
        <v>0</v>
      </c>
      <c r="AE59" s="452">
        <f>SUM($U58:AE58)</f>
        <v>0</v>
      </c>
      <c r="AF59" s="452">
        <f>SUM($U58:AF58)</f>
        <v>0</v>
      </c>
      <c r="AG59" s="452">
        <f>SUM($U58:AG58)</f>
        <v>0</v>
      </c>
      <c r="AH59" s="452">
        <f>SUM($U58:AH58)</f>
        <v>0</v>
      </c>
      <c r="AI59" s="452">
        <f>SUM($U58:AI58)</f>
        <v>0</v>
      </c>
      <c r="AJ59" s="452">
        <f>SUM($U58:AJ58)</f>
        <v>0</v>
      </c>
      <c r="AK59" s="452">
        <f>SUM($U58:AK58)</f>
        <v>0</v>
      </c>
      <c r="AL59" s="452">
        <f>SUM($U58:AL58)</f>
        <v>0</v>
      </c>
      <c r="AM59" s="452">
        <f>SUM($U58:AM58)</f>
        <v>0</v>
      </c>
      <c r="AN59" s="452">
        <f>SUM($U58:AN58)</f>
        <v>0</v>
      </c>
      <c r="AO59" s="452">
        <f>SUM($U58:AO58)</f>
        <v>0</v>
      </c>
      <c r="AP59" s="452">
        <f>SUM($U58:AP58)</f>
        <v>0</v>
      </c>
      <c r="AQ59" s="452">
        <f>SUM($U58:AQ58)</f>
        <v>0</v>
      </c>
      <c r="AR59" s="452">
        <f>SUM($U58:AR58)</f>
        <v>0</v>
      </c>
      <c r="AS59" s="452">
        <f>SUM($U58:AS58)</f>
        <v>0</v>
      </c>
      <c r="AT59" s="452">
        <f>SUM($U58:AT58)</f>
        <v>0</v>
      </c>
      <c r="AU59" s="452">
        <f>SUM($U58:AU58)</f>
        <v>0</v>
      </c>
      <c r="AV59" s="452">
        <f>SUM($U58:AV58)</f>
        <v>0</v>
      </c>
      <c r="AW59" s="452">
        <f>SUM($U58:AW58)</f>
        <v>0</v>
      </c>
      <c r="AX59" s="452">
        <f>SUM($U58:AX58)</f>
        <v>0</v>
      </c>
      <c r="AY59" s="453">
        <f>SUM($U58:AY58)</f>
        <v>0</v>
      </c>
    </row>
    <row r="60" spans="1:51" s="418" customFormat="1" ht="15" customHeight="1" outlineLevel="1" x14ac:dyDescent="0.25">
      <c r="A60" s="412"/>
      <c r="B60" s="420"/>
      <c r="C60" s="462" t="s">
        <v>523</v>
      </c>
      <c r="D60" s="456"/>
      <c r="E60" s="864"/>
      <c r="F60" s="457"/>
      <c r="G60" s="457"/>
      <c r="H60" s="457"/>
      <c r="I60" s="457"/>
      <c r="J60" s="457" t="s">
        <v>518</v>
      </c>
      <c r="K60" s="457"/>
      <c r="L60" s="457"/>
      <c r="M60" s="457"/>
      <c r="N60" s="457"/>
      <c r="O60" s="457"/>
      <c r="P60" s="457"/>
      <c r="Q60" s="457"/>
      <c r="R60" s="457"/>
      <c r="S60" s="458"/>
      <c r="T60" s="462"/>
      <c r="U60" s="460"/>
      <c r="V60" s="459">
        <f t="shared" ref="V60:AY60" si="13">SUMPRODUCT(U20:U49,$R$20:$R$49,$G20:$G49)</f>
        <v>0</v>
      </c>
      <c r="W60" s="463">
        <f t="shared" si="13"/>
        <v>0</v>
      </c>
      <c r="X60" s="459">
        <f t="shared" si="13"/>
        <v>0</v>
      </c>
      <c r="Y60" s="459">
        <f t="shared" si="13"/>
        <v>0</v>
      </c>
      <c r="Z60" s="459">
        <f t="shared" si="13"/>
        <v>0</v>
      </c>
      <c r="AA60" s="459">
        <f t="shared" si="13"/>
        <v>0</v>
      </c>
      <c r="AB60" s="459">
        <f t="shared" si="13"/>
        <v>0</v>
      </c>
      <c r="AC60" s="459">
        <f t="shared" si="13"/>
        <v>0</v>
      </c>
      <c r="AD60" s="459">
        <f t="shared" si="13"/>
        <v>0</v>
      </c>
      <c r="AE60" s="459">
        <f t="shared" si="13"/>
        <v>0</v>
      </c>
      <c r="AF60" s="459">
        <f t="shared" si="13"/>
        <v>0</v>
      </c>
      <c r="AG60" s="459">
        <f t="shared" si="13"/>
        <v>0</v>
      </c>
      <c r="AH60" s="459">
        <f t="shared" si="13"/>
        <v>0</v>
      </c>
      <c r="AI60" s="459">
        <f t="shared" si="13"/>
        <v>0</v>
      </c>
      <c r="AJ60" s="459">
        <f t="shared" si="13"/>
        <v>0</v>
      </c>
      <c r="AK60" s="459">
        <f t="shared" si="13"/>
        <v>0</v>
      </c>
      <c r="AL60" s="459">
        <f t="shared" si="13"/>
        <v>0</v>
      </c>
      <c r="AM60" s="459">
        <f t="shared" si="13"/>
        <v>0</v>
      </c>
      <c r="AN60" s="459">
        <f t="shared" si="13"/>
        <v>0</v>
      </c>
      <c r="AO60" s="459">
        <f t="shared" si="13"/>
        <v>0</v>
      </c>
      <c r="AP60" s="459">
        <f t="shared" si="13"/>
        <v>0</v>
      </c>
      <c r="AQ60" s="459">
        <f t="shared" si="13"/>
        <v>0</v>
      </c>
      <c r="AR60" s="459">
        <f t="shared" si="13"/>
        <v>0</v>
      </c>
      <c r="AS60" s="459">
        <f t="shared" si="13"/>
        <v>0</v>
      </c>
      <c r="AT60" s="459">
        <f t="shared" si="13"/>
        <v>0</v>
      </c>
      <c r="AU60" s="459">
        <f t="shared" si="13"/>
        <v>0</v>
      </c>
      <c r="AV60" s="459">
        <f t="shared" si="13"/>
        <v>0</v>
      </c>
      <c r="AW60" s="459">
        <f t="shared" si="13"/>
        <v>0</v>
      </c>
      <c r="AX60" s="459">
        <f t="shared" si="13"/>
        <v>0</v>
      </c>
      <c r="AY60" s="459">
        <f t="shared" si="13"/>
        <v>0</v>
      </c>
    </row>
    <row r="61" spans="1:51" s="418" customFormat="1" ht="15" customHeight="1" x14ac:dyDescent="0.25">
      <c r="A61" s="412"/>
      <c r="C61" s="442" t="s">
        <v>524</v>
      </c>
      <c r="D61" s="443"/>
      <c r="E61" s="443"/>
      <c r="F61" s="443"/>
      <c r="G61" s="443"/>
      <c r="H61" s="443"/>
      <c r="I61" s="443"/>
      <c r="J61" s="444" t="s">
        <v>408</v>
      </c>
      <c r="K61" s="443"/>
      <c r="L61" s="443"/>
      <c r="M61" s="443"/>
      <c r="N61" s="443"/>
      <c r="O61" s="443"/>
      <c r="P61" s="445"/>
      <c r="Q61" s="443"/>
      <c r="R61" s="445"/>
      <c r="S61" s="446"/>
      <c r="T61" s="443"/>
      <c r="U61" s="443"/>
      <c r="V61" s="443"/>
      <c r="W61" s="443"/>
      <c r="X61" s="443"/>
      <c r="Y61" s="443"/>
      <c r="Z61" s="443"/>
      <c r="AA61" s="443"/>
      <c r="AB61" s="443"/>
      <c r="AC61" s="443"/>
      <c r="AD61" s="443"/>
      <c r="AE61" s="443"/>
      <c r="AF61" s="443"/>
      <c r="AG61" s="443"/>
      <c r="AH61" s="443"/>
      <c r="AI61" s="443"/>
      <c r="AJ61" s="443"/>
      <c r="AK61" s="443"/>
      <c r="AL61" s="443"/>
      <c r="AM61" s="443"/>
      <c r="AN61" s="443"/>
      <c r="AO61" s="443"/>
      <c r="AP61" s="443"/>
      <c r="AQ61" s="443"/>
      <c r="AR61" s="443"/>
      <c r="AS61" s="443"/>
      <c r="AT61" s="443"/>
      <c r="AU61" s="443"/>
      <c r="AV61" s="443"/>
      <c r="AW61" s="443"/>
      <c r="AX61" s="443"/>
      <c r="AY61" s="446"/>
    </row>
    <row r="62" spans="1:51" ht="15" customHeight="1" x14ac:dyDescent="0.25">
      <c r="C62" s="857" t="s">
        <v>525</v>
      </c>
      <c r="D62" s="858"/>
      <c r="E62" s="859"/>
      <c r="F62" s="858"/>
      <c r="G62" s="858"/>
      <c r="H62" s="858"/>
      <c r="I62" s="858"/>
      <c r="J62" s="858" t="s">
        <v>510</v>
      </c>
      <c r="K62" s="858"/>
      <c r="L62" s="858" t="s">
        <v>526</v>
      </c>
      <c r="M62" s="858"/>
      <c r="N62" s="860">
        <f>SUM(U62:AY62)</f>
        <v>0</v>
      </c>
      <c r="O62" s="858" t="s">
        <v>510</v>
      </c>
      <c r="P62" s="861"/>
      <c r="Q62" s="858"/>
      <c r="R62" s="861"/>
      <c r="S62" s="862"/>
      <c r="T62" s="448"/>
      <c r="U62" s="452">
        <f>SUMPRODUCT(U20:U49,$H20:$H49)-SUM($T62:T62)</f>
        <v>0</v>
      </c>
      <c r="V62" s="452">
        <f>SUMPRODUCT(V20:V49,$H20:$H49)-SUM($T62:U62)</f>
        <v>0</v>
      </c>
      <c r="W62" s="452">
        <f>SUMPRODUCT(W20:W49,$H20:$H49)-SUM($T62:V62)</f>
        <v>0</v>
      </c>
      <c r="X62" s="452">
        <f>SUMPRODUCT(X20:X49,$H20:$H49)-SUM($T62:W62)</f>
        <v>0</v>
      </c>
      <c r="Y62" s="452">
        <f>SUMPRODUCT(Y20:Y49,$H20:$H49)-SUM($T62:X62)</f>
        <v>0</v>
      </c>
      <c r="Z62" s="452">
        <f>SUMPRODUCT(Z20:Z49,$H20:$H49)-SUM($T62:Y62)</f>
        <v>0</v>
      </c>
      <c r="AA62" s="452">
        <f>SUMPRODUCT(AA20:AA49,$H20:$H49)-SUM($T62:Z62)</f>
        <v>0</v>
      </c>
      <c r="AB62" s="452">
        <f>SUMPRODUCT(AB20:AB49,$H20:$H49)-SUM($T62:AA62)</f>
        <v>0</v>
      </c>
      <c r="AC62" s="452">
        <f>SUMPRODUCT(AC20:AC49,$H20:$H49)-SUM($T62:AB62)</f>
        <v>0</v>
      </c>
      <c r="AD62" s="452">
        <f>SUMPRODUCT(AD20:AD49,$H20:$H49)-SUM($T62:AC62)</f>
        <v>0</v>
      </c>
      <c r="AE62" s="452">
        <f>SUMPRODUCT(AE20:AE49,$H20:$H49)-SUM($T62:AD62)</f>
        <v>0</v>
      </c>
      <c r="AF62" s="452">
        <f>SUMPRODUCT(AF20:AF49,$H20:$H49)-SUM($T62:AE62)</f>
        <v>0</v>
      </c>
      <c r="AG62" s="452">
        <f>SUMPRODUCT(AG20:AG49,$H20:$H49)-SUM($T62:AF62)</f>
        <v>0</v>
      </c>
      <c r="AH62" s="452">
        <f>SUMPRODUCT(AH20:AH49,$H20:$H49)-SUM($T62:AG62)</f>
        <v>0</v>
      </c>
      <c r="AI62" s="452">
        <f>SUMPRODUCT(AI20:AI49,$H20:$H49)-SUM($T62:AH62)</f>
        <v>0</v>
      </c>
      <c r="AJ62" s="452">
        <f>SUMPRODUCT(AJ20:AJ49,$H20:$H49)-SUM($T62:AI62)</f>
        <v>0</v>
      </c>
      <c r="AK62" s="452">
        <f>SUMPRODUCT(AK20:AK49,$H20:$H49)-SUM($T62:AJ62)</f>
        <v>0</v>
      </c>
      <c r="AL62" s="452">
        <f>SUMPRODUCT(AL20:AL49,$H20:$H49)-SUM($T62:AK62)</f>
        <v>0</v>
      </c>
      <c r="AM62" s="452">
        <f>SUMPRODUCT(AM20:AM49,$H20:$H49)-SUM($T62:AL62)</f>
        <v>0</v>
      </c>
      <c r="AN62" s="452">
        <f>SUMPRODUCT(AN20:AN49,$H20:$H49)-SUM($T62:AM62)</f>
        <v>0</v>
      </c>
      <c r="AO62" s="452">
        <f>SUMPRODUCT(AO20:AO49,$H20:$H49)-SUM($T62:AN62)</f>
        <v>0</v>
      </c>
      <c r="AP62" s="452">
        <f>SUMPRODUCT(AP20:AP49,$H20:$H49)-SUM($T62:AO62)</f>
        <v>0</v>
      </c>
      <c r="AQ62" s="452">
        <f>SUMPRODUCT(AQ20:AQ49,$H20:$H49)-SUM($T62:AP62)</f>
        <v>0</v>
      </c>
      <c r="AR62" s="452">
        <f>SUMPRODUCT(AR20:AR49,$H20:$H49)-SUM($T62:AQ62)</f>
        <v>0</v>
      </c>
      <c r="AS62" s="452">
        <f>SUMPRODUCT(AS20:AS49,$H20:$H49)-SUM($T62:AR62)</f>
        <v>0</v>
      </c>
      <c r="AT62" s="452">
        <f>SUMPRODUCT(AT20:AT49,$H20:$H49)-SUM($T62:AS62)</f>
        <v>0</v>
      </c>
      <c r="AU62" s="452">
        <f>SUMPRODUCT(AU20:AU49,$H20:$H49)-SUM($T62:AT62)</f>
        <v>0</v>
      </c>
      <c r="AV62" s="452">
        <f>SUMPRODUCT(AV20:AV49,$H20:$H49)-SUM($T62:AU62)</f>
        <v>0</v>
      </c>
      <c r="AW62" s="452">
        <f>SUMPRODUCT(AW20:AW49,$H20:$H49)-SUM($T62:AV62)</f>
        <v>0</v>
      </c>
      <c r="AX62" s="452">
        <f>SUMPRODUCT(AX20:AX49,$H20:$H49)-SUM($T62:AW62)</f>
        <v>0</v>
      </c>
      <c r="AY62" s="452">
        <f>SUMPRODUCT(AY20:AY49,$H20:$H49)-SUM($T62:AX62)</f>
        <v>0</v>
      </c>
    </row>
    <row r="63" spans="1:51" ht="15" customHeight="1" x14ac:dyDescent="0.25">
      <c r="C63" s="447" t="s">
        <v>527</v>
      </c>
      <c r="D63" s="454"/>
      <c r="E63" s="863"/>
      <c r="F63" s="448"/>
      <c r="G63" s="448"/>
      <c r="H63" s="448"/>
      <c r="I63" s="448"/>
      <c r="J63" s="448" t="s">
        <v>510</v>
      </c>
      <c r="K63" s="448"/>
      <c r="L63" s="448"/>
      <c r="M63" s="448"/>
      <c r="N63" s="448"/>
      <c r="O63" s="448"/>
      <c r="P63" s="448"/>
      <c r="Q63" s="448"/>
      <c r="R63" s="448"/>
      <c r="S63" s="451"/>
      <c r="T63" s="448"/>
      <c r="U63" s="461">
        <f>SUM($U62:U62)</f>
        <v>0</v>
      </c>
      <c r="V63" s="461">
        <f>SUM($U62:V62)</f>
        <v>0</v>
      </c>
      <c r="W63" s="461">
        <f>SUM($U62:W62)</f>
        <v>0</v>
      </c>
      <c r="X63" s="461">
        <f>SUM($U62:X62)</f>
        <v>0</v>
      </c>
      <c r="Y63" s="461">
        <f>SUM($U62:Y62)</f>
        <v>0</v>
      </c>
      <c r="Z63" s="461">
        <f>SUM($U62:Z62)</f>
        <v>0</v>
      </c>
      <c r="AA63" s="461">
        <f>SUM($U62:AA62)</f>
        <v>0</v>
      </c>
      <c r="AB63" s="461">
        <f>SUM($U62:AB62)</f>
        <v>0</v>
      </c>
      <c r="AC63" s="461">
        <f>SUM($U62:AC62)</f>
        <v>0</v>
      </c>
      <c r="AD63" s="461">
        <f>SUM($U62:AD62)</f>
        <v>0</v>
      </c>
      <c r="AE63" s="461">
        <f>SUM($U62:AE62)</f>
        <v>0</v>
      </c>
      <c r="AF63" s="461">
        <f>SUM($U62:AF62)</f>
        <v>0</v>
      </c>
      <c r="AG63" s="461">
        <f>SUM($U62:AG62)</f>
        <v>0</v>
      </c>
      <c r="AH63" s="461">
        <f>SUM($U62:AH62)</f>
        <v>0</v>
      </c>
      <c r="AI63" s="461">
        <f>SUM($U62:AI62)</f>
        <v>0</v>
      </c>
      <c r="AJ63" s="461">
        <f>SUM($U62:AJ62)</f>
        <v>0</v>
      </c>
      <c r="AK63" s="461">
        <f>SUM($U62:AK62)</f>
        <v>0</v>
      </c>
      <c r="AL63" s="461">
        <f>SUM($U62:AL62)</f>
        <v>0</v>
      </c>
      <c r="AM63" s="461">
        <f>SUM($U62:AM62)</f>
        <v>0</v>
      </c>
      <c r="AN63" s="461">
        <f>SUM($U62:AN62)</f>
        <v>0</v>
      </c>
      <c r="AO63" s="461">
        <f>SUM($U62:AO62)</f>
        <v>0</v>
      </c>
      <c r="AP63" s="461">
        <f>SUM($U62:AP62)</f>
        <v>0</v>
      </c>
      <c r="AQ63" s="461">
        <f>SUM($U62:AQ62)</f>
        <v>0</v>
      </c>
      <c r="AR63" s="461">
        <f>SUM($U62:AR62)</f>
        <v>0</v>
      </c>
      <c r="AS63" s="461">
        <f>SUM($U62:AS62)</f>
        <v>0</v>
      </c>
      <c r="AT63" s="461">
        <f>SUM($U62:AT62)</f>
        <v>0</v>
      </c>
      <c r="AU63" s="461">
        <f>SUM($U62:AU62)</f>
        <v>0</v>
      </c>
      <c r="AV63" s="461">
        <f>SUM($U62:AV62)</f>
        <v>0</v>
      </c>
      <c r="AW63" s="461">
        <f>SUM($U62:AW62)</f>
        <v>0</v>
      </c>
      <c r="AX63" s="461">
        <f>SUM($U62:AX62)</f>
        <v>0</v>
      </c>
      <c r="AY63" s="461">
        <f>SUM($U62:AY62)</f>
        <v>0</v>
      </c>
    </row>
    <row r="64" spans="1:51" ht="15" customHeight="1" x14ac:dyDescent="0.25">
      <c r="C64" s="462" t="s">
        <v>528</v>
      </c>
      <c r="D64" s="456"/>
      <c r="E64" s="864"/>
      <c r="F64" s="457"/>
      <c r="G64" s="457"/>
      <c r="H64" s="457"/>
      <c r="I64" s="457"/>
      <c r="J64" s="457" t="s">
        <v>518</v>
      </c>
      <c r="K64" s="457"/>
      <c r="L64" s="457"/>
      <c r="M64" s="457"/>
      <c r="N64" s="457"/>
      <c r="O64" s="457"/>
      <c r="P64" s="457"/>
      <c r="Q64" s="457"/>
      <c r="R64" s="457"/>
      <c r="S64" s="458"/>
      <c r="T64" s="457"/>
      <c r="U64" s="460"/>
      <c r="V64" s="459">
        <f>SUMPRODUCT(U20:U49,$R$20:$R$49,$H20:$H49)</f>
        <v>0</v>
      </c>
      <c r="W64" s="459">
        <f t="shared" ref="W64:AY64" si="14">SUMPRODUCT(V20:V49,$R$20:$R$49,$H20:$H49)</f>
        <v>0</v>
      </c>
      <c r="X64" s="459">
        <f t="shared" si="14"/>
        <v>0</v>
      </c>
      <c r="Y64" s="459">
        <f>SUMPRODUCT(X20:X49,$R$20:$R$49,$H20:$H49)</f>
        <v>0</v>
      </c>
      <c r="Z64" s="459">
        <f t="shared" si="14"/>
        <v>0</v>
      </c>
      <c r="AA64" s="459">
        <f t="shared" si="14"/>
        <v>0</v>
      </c>
      <c r="AB64" s="459">
        <f t="shared" si="14"/>
        <v>0</v>
      </c>
      <c r="AC64" s="459">
        <f t="shared" si="14"/>
        <v>0</v>
      </c>
      <c r="AD64" s="459">
        <f t="shared" si="14"/>
        <v>0</v>
      </c>
      <c r="AE64" s="459">
        <f t="shared" si="14"/>
        <v>0</v>
      </c>
      <c r="AF64" s="459">
        <f t="shared" si="14"/>
        <v>0</v>
      </c>
      <c r="AG64" s="459">
        <f t="shared" si="14"/>
        <v>0</v>
      </c>
      <c r="AH64" s="459">
        <f t="shared" si="14"/>
        <v>0</v>
      </c>
      <c r="AI64" s="459">
        <f t="shared" si="14"/>
        <v>0</v>
      </c>
      <c r="AJ64" s="459">
        <f t="shared" si="14"/>
        <v>0</v>
      </c>
      <c r="AK64" s="459">
        <f t="shared" si="14"/>
        <v>0</v>
      </c>
      <c r="AL64" s="459">
        <f t="shared" si="14"/>
        <v>0</v>
      </c>
      <c r="AM64" s="459">
        <f t="shared" si="14"/>
        <v>0</v>
      </c>
      <c r="AN64" s="459">
        <f t="shared" si="14"/>
        <v>0</v>
      </c>
      <c r="AO64" s="459">
        <f t="shared" si="14"/>
        <v>0</v>
      </c>
      <c r="AP64" s="459">
        <f t="shared" si="14"/>
        <v>0</v>
      </c>
      <c r="AQ64" s="459">
        <f t="shared" si="14"/>
        <v>0</v>
      </c>
      <c r="AR64" s="459">
        <f t="shared" si="14"/>
        <v>0</v>
      </c>
      <c r="AS64" s="459">
        <f t="shared" si="14"/>
        <v>0</v>
      </c>
      <c r="AT64" s="459">
        <f t="shared" si="14"/>
        <v>0</v>
      </c>
      <c r="AU64" s="459">
        <f t="shared" si="14"/>
        <v>0</v>
      </c>
      <c r="AV64" s="459">
        <f t="shared" si="14"/>
        <v>0</v>
      </c>
      <c r="AW64" s="459">
        <f t="shared" si="14"/>
        <v>0</v>
      </c>
      <c r="AX64" s="459">
        <f t="shared" si="14"/>
        <v>0</v>
      </c>
      <c r="AY64" s="459">
        <f t="shared" si="14"/>
        <v>0</v>
      </c>
    </row>
    <row r="65" spans="11:17" ht="12" customHeight="1" x14ac:dyDescent="0.25">
      <c r="K65" s="287"/>
      <c r="L65" s="287"/>
      <c r="M65" s="287"/>
      <c r="N65" s="287"/>
      <c r="O65" s="287"/>
      <c r="Q65" s="295"/>
    </row>
    <row r="66" spans="11:17" ht="12" customHeight="1" x14ac:dyDescent="0.25">
      <c r="K66" s="287"/>
      <c r="L66" s="287"/>
      <c r="M66" s="287"/>
      <c r="N66" s="287"/>
      <c r="O66" s="287"/>
      <c r="Q66" s="295"/>
    </row>
    <row r="67" spans="11:17" ht="12" customHeight="1" x14ac:dyDescent="0.25">
      <c r="K67" s="287"/>
      <c r="L67" s="287"/>
      <c r="M67" s="287"/>
      <c r="N67" s="287"/>
      <c r="O67" s="287"/>
      <c r="Q67" s="295"/>
    </row>
    <row r="68" spans="11:17" ht="12" customHeight="1" x14ac:dyDescent="0.25">
      <c r="K68" s="287"/>
      <c r="L68" s="287"/>
      <c r="M68" s="287"/>
      <c r="N68" s="287"/>
      <c r="O68" s="287"/>
      <c r="Q68" s="295"/>
    </row>
    <row r="69" spans="11:17" ht="12" customHeight="1" x14ac:dyDescent="0.25">
      <c r="K69" s="287"/>
      <c r="L69" s="287"/>
      <c r="M69" s="287"/>
      <c r="N69" s="287"/>
      <c r="O69" s="287"/>
      <c r="Q69" s="295"/>
    </row>
    <row r="70" spans="11:17" ht="12" customHeight="1" x14ac:dyDescent="0.25">
      <c r="K70" s="287"/>
      <c r="L70" s="287"/>
      <c r="M70" s="287"/>
      <c r="N70" s="287"/>
      <c r="O70" s="287"/>
      <c r="Q70" s="295"/>
    </row>
    <row r="71" spans="11:17" ht="12" customHeight="1" x14ac:dyDescent="0.25">
      <c r="K71" s="287"/>
      <c r="L71" s="287"/>
      <c r="M71" s="287"/>
      <c r="N71" s="287"/>
      <c r="O71" s="287"/>
      <c r="Q71" s="295"/>
    </row>
    <row r="72" spans="11:17" ht="12" customHeight="1" x14ac:dyDescent="0.25">
      <c r="K72" s="287"/>
      <c r="L72" s="287"/>
      <c r="M72" s="287"/>
      <c r="N72" s="287"/>
      <c r="O72" s="287"/>
      <c r="Q72" s="295"/>
    </row>
    <row r="73" spans="11:17" ht="12" customHeight="1" x14ac:dyDescent="0.25">
      <c r="K73" s="287"/>
      <c r="L73" s="287"/>
      <c r="M73" s="287"/>
      <c r="N73" s="287"/>
      <c r="O73" s="287"/>
      <c r="Q73" s="295"/>
    </row>
    <row r="74" spans="11:17" ht="12" customHeight="1" x14ac:dyDescent="0.25">
      <c r="K74" s="287"/>
      <c r="L74" s="287"/>
      <c r="M74" s="287"/>
      <c r="N74" s="287"/>
      <c r="O74" s="287"/>
      <c r="Q74" s="295"/>
    </row>
    <row r="75" spans="11:17" ht="12" customHeight="1" x14ac:dyDescent="0.25">
      <c r="K75" s="287"/>
      <c r="L75" s="287"/>
      <c r="M75" s="287"/>
      <c r="N75" s="287"/>
      <c r="O75" s="287"/>
      <c r="Q75" s="295"/>
    </row>
    <row r="76" spans="11:17" ht="12" customHeight="1" x14ac:dyDescent="0.25">
      <c r="K76" s="287"/>
      <c r="L76" s="287"/>
      <c r="M76" s="287"/>
      <c r="N76" s="287"/>
      <c r="O76" s="287"/>
      <c r="Q76" s="295"/>
    </row>
    <row r="77" spans="11:17" ht="12" customHeight="1" x14ac:dyDescent="0.25">
      <c r="K77" s="287"/>
      <c r="L77" s="287"/>
      <c r="M77" s="287"/>
      <c r="N77" s="287"/>
      <c r="O77" s="287"/>
      <c r="Q77" s="295"/>
    </row>
    <row r="78" spans="11:17" ht="12" customHeight="1" x14ac:dyDescent="0.25">
      <c r="K78" s="287"/>
      <c r="L78" s="287"/>
      <c r="M78" s="287"/>
      <c r="N78" s="287"/>
      <c r="O78" s="287"/>
      <c r="Q78" s="295"/>
    </row>
    <row r="79" spans="11:17" ht="12" customHeight="1" x14ac:dyDescent="0.25">
      <c r="K79" s="287"/>
      <c r="L79" s="287"/>
      <c r="M79" s="287"/>
      <c r="N79" s="287"/>
      <c r="O79" s="287"/>
      <c r="Q79" s="295"/>
    </row>
    <row r="80" spans="11:17" ht="12" customHeight="1" x14ac:dyDescent="0.25">
      <c r="K80" s="287"/>
      <c r="L80" s="287"/>
      <c r="M80" s="287"/>
      <c r="N80" s="287"/>
      <c r="O80" s="287"/>
      <c r="Q80" s="295"/>
    </row>
    <row r="81" spans="11:17" ht="12" customHeight="1" x14ac:dyDescent="0.25">
      <c r="K81" s="287"/>
      <c r="L81" s="287"/>
      <c r="M81" s="287"/>
      <c r="N81" s="287"/>
      <c r="O81" s="287"/>
      <c r="Q81" s="295"/>
    </row>
    <row r="82" spans="11:17" ht="12" customHeight="1" x14ac:dyDescent="0.25">
      <c r="K82" s="287"/>
      <c r="L82" s="287"/>
      <c r="M82" s="287"/>
      <c r="N82" s="287"/>
      <c r="O82" s="287"/>
      <c r="Q82" s="295"/>
    </row>
    <row r="83" spans="11:17" ht="12" customHeight="1" x14ac:dyDescent="0.25">
      <c r="K83" s="287"/>
      <c r="L83" s="287"/>
      <c r="M83" s="287"/>
      <c r="N83" s="287"/>
      <c r="O83" s="287"/>
      <c r="Q83" s="295"/>
    </row>
    <row r="84" spans="11:17" ht="12" customHeight="1" x14ac:dyDescent="0.25">
      <c r="K84" s="287"/>
      <c r="L84" s="287"/>
      <c r="M84" s="287"/>
      <c r="N84" s="287"/>
      <c r="O84" s="287"/>
      <c r="Q84" s="295"/>
    </row>
    <row r="85" spans="11:17" ht="12" customHeight="1" x14ac:dyDescent="0.25">
      <c r="K85" s="287"/>
      <c r="L85" s="287"/>
      <c r="M85" s="287"/>
      <c r="N85" s="287"/>
      <c r="O85" s="287"/>
      <c r="Q85" s="295"/>
    </row>
    <row r="86" spans="11:17" ht="12" customHeight="1" x14ac:dyDescent="0.25">
      <c r="K86" s="287"/>
      <c r="L86" s="287"/>
      <c r="M86" s="287"/>
      <c r="N86" s="287"/>
      <c r="O86" s="287"/>
      <c r="Q86" s="295"/>
    </row>
    <row r="87" spans="11:17" ht="12" customHeight="1" x14ac:dyDescent="0.25">
      <c r="K87" s="287"/>
      <c r="L87" s="287"/>
      <c r="M87" s="287"/>
      <c r="N87" s="287"/>
      <c r="O87" s="287"/>
      <c r="Q87" s="295"/>
    </row>
    <row r="88" spans="11:17" ht="12" customHeight="1" x14ac:dyDescent="0.25">
      <c r="K88" s="287"/>
      <c r="L88" s="287"/>
      <c r="M88" s="287"/>
      <c r="N88" s="287"/>
      <c r="O88" s="287"/>
      <c r="Q88" s="295"/>
    </row>
    <row r="89" spans="11:17" ht="12" customHeight="1" x14ac:dyDescent="0.25">
      <c r="K89" s="287"/>
      <c r="L89" s="287"/>
      <c r="M89" s="287"/>
      <c r="N89" s="287"/>
      <c r="O89" s="287"/>
      <c r="Q89" s="295"/>
    </row>
    <row r="90" spans="11:17" ht="12" customHeight="1" x14ac:dyDescent="0.25">
      <c r="K90" s="287"/>
      <c r="L90" s="287"/>
      <c r="M90" s="287"/>
      <c r="N90" s="287"/>
      <c r="O90" s="287"/>
      <c r="Q90" s="295"/>
    </row>
    <row r="91" spans="11:17" ht="12" customHeight="1" x14ac:dyDescent="0.25">
      <c r="K91" s="287"/>
      <c r="L91" s="287"/>
      <c r="M91" s="287"/>
      <c r="N91" s="287"/>
      <c r="O91" s="287"/>
      <c r="Q91" s="295"/>
    </row>
    <row r="92" spans="11:17" ht="12" customHeight="1" x14ac:dyDescent="0.25">
      <c r="K92" s="287"/>
      <c r="L92" s="287"/>
      <c r="M92" s="287"/>
      <c r="N92" s="287"/>
      <c r="O92" s="287"/>
      <c r="Q92" s="295"/>
    </row>
    <row r="93" spans="11:17" ht="12" customHeight="1" x14ac:dyDescent="0.25">
      <c r="K93" s="287"/>
      <c r="L93" s="287"/>
      <c r="M93" s="287"/>
      <c r="N93" s="287"/>
      <c r="O93" s="287"/>
      <c r="Q93" s="295"/>
    </row>
    <row r="94" spans="11:17" ht="12" customHeight="1" x14ac:dyDescent="0.25">
      <c r="K94" s="287"/>
      <c r="L94" s="287"/>
      <c r="M94" s="287"/>
      <c r="N94" s="287"/>
      <c r="O94" s="287"/>
      <c r="Q94" s="295"/>
    </row>
    <row r="95" spans="11:17" ht="12" customHeight="1" x14ac:dyDescent="0.25">
      <c r="K95" s="287"/>
      <c r="L95" s="287"/>
      <c r="M95" s="287"/>
      <c r="N95" s="287"/>
      <c r="O95" s="287"/>
      <c r="Q95" s="295"/>
    </row>
    <row r="96" spans="11:17" ht="12" customHeight="1" x14ac:dyDescent="0.25">
      <c r="K96" s="287"/>
      <c r="L96" s="287"/>
      <c r="M96" s="287"/>
      <c r="N96" s="287"/>
      <c r="O96" s="287"/>
      <c r="Q96" s="295"/>
    </row>
    <row r="97" spans="11:17" ht="12" customHeight="1" x14ac:dyDescent="0.25">
      <c r="K97" s="287"/>
      <c r="L97" s="287"/>
      <c r="M97" s="287"/>
      <c r="N97" s="287"/>
      <c r="O97" s="287"/>
      <c r="Q97" s="295"/>
    </row>
    <row r="98" spans="11:17" ht="12" customHeight="1" x14ac:dyDescent="0.25">
      <c r="K98" s="287"/>
      <c r="L98" s="287"/>
      <c r="M98" s="287"/>
      <c r="N98" s="287"/>
      <c r="O98" s="287"/>
      <c r="Q98" s="295"/>
    </row>
    <row r="99" spans="11:17" ht="12" customHeight="1" x14ac:dyDescent="0.25">
      <c r="K99" s="287"/>
      <c r="L99" s="287"/>
      <c r="M99" s="287"/>
      <c r="N99" s="287"/>
      <c r="O99" s="287"/>
      <c r="Q99" s="295"/>
    </row>
    <row r="100" spans="11:17" ht="12" customHeight="1" x14ac:dyDescent="0.25">
      <c r="K100" s="287"/>
      <c r="L100" s="287"/>
      <c r="M100" s="287"/>
      <c r="N100" s="287"/>
      <c r="O100" s="287"/>
      <c r="Q100" s="295"/>
    </row>
    <row r="101" spans="11:17" ht="12" customHeight="1" x14ac:dyDescent="0.25">
      <c r="K101" s="287"/>
      <c r="L101" s="287"/>
      <c r="M101" s="287"/>
      <c r="N101" s="287"/>
      <c r="O101" s="287"/>
      <c r="Q101" s="295"/>
    </row>
    <row r="102" spans="11:17" ht="12" customHeight="1" x14ac:dyDescent="0.25">
      <c r="K102" s="287"/>
      <c r="L102" s="287"/>
      <c r="M102" s="287"/>
      <c r="N102" s="287"/>
      <c r="O102" s="287"/>
      <c r="Q102" s="295"/>
    </row>
    <row r="103" spans="11:17" ht="12" customHeight="1" x14ac:dyDescent="0.25">
      <c r="K103" s="287"/>
      <c r="L103" s="287"/>
      <c r="M103" s="287"/>
      <c r="N103" s="287"/>
      <c r="O103" s="287"/>
      <c r="Q103" s="295"/>
    </row>
    <row r="104" spans="11:17" ht="12" customHeight="1" x14ac:dyDescent="0.25">
      <c r="K104" s="287"/>
      <c r="L104" s="287"/>
      <c r="M104" s="287"/>
      <c r="N104" s="287"/>
      <c r="O104" s="287"/>
      <c r="Q104" s="295"/>
    </row>
    <row r="105" spans="11:17" ht="12" customHeight="1" x14ac:dyDescent="0.25">
      <c r="K105" s="287"/>
      <c r="L105" s="287"/>
      <c r="M105" s="287"/>
      <c r="N105" s="287"/>
      <c r="O105" s="287"/>
      <c r="Q105" s="295"/>
    </row>
    <row r="106" spans="11:17" ht="12" customHeight="1" x14ac:dyDescent="0.25">
      <c r="K106" s="287"/>
      <c r="L106" s="287"/>
      <c r="M106" s="287"/>
      <c r="N106" s="287"/>
      <c r="O106" s="287"/>
      <c r="Q106" s="295"/>
    </row>
    <row r="107" spans="11:17" ht="12" customHeight="1" x14ac:dyDescent="0.25">
      <c r="K107" s="287"/>
      <c r="L107" s="287"/>
      <c r="M107" s="287"/>
      <c r="N107" s="287"/>
      <c r="O107" s="287"/>
      <c r="Q107" s="295"/>
    </row>
    <row r="108" spans="11:17" ht="12" customHeight="1" x14ac:dyDescent="0.25">
      <c r="K108" s="287"/>
      <c r="L108" s="287"/>
      <c r="M108" s="287"/>
      <c r="N108" s="287"/>
      <c r="O108" s="287"/>
      <c r="Q108" s="295"/>
    </row>
    <row r="109" spans="11:17" ht="12" customHeight="1" x14ac:dyDescent="0.25">
      <c r="K109" s="287"/>
      <c r="L109" s="287"/>
      <c r="M109" s="287"/>
      <c r="N109" s="287"/>
      <c r="O109" s="287"/>
      <c r="Q109" s="295"/>
    </row>
    <row r="110" spans="11:17" ht="12" customHeight="1" x14ac:dyDescent="0.25">
      <c r="K110" s="287"/>
      <c r="L110" s="287"/>
      <c r="M110" s="287"/>
      <c r="N110" s="287"/>
      <c r="O110" s="287"/>
      <c r="Q110" s="295"/>
    </row>
    <row r="111" spans="11:17" ht="12" customHeight="1" x14ac:dyDescent="0.25">
      <c r="K111" s="287"/>
      <c r="L111" s="287"/>
      <c r="M111" s="287"/>
      <c r="N111" s="287"/>
      <c r="O111" s="287"/>
      <c r="Q111" s="295"/>
    </row>
    <row r="112" spans="11:17" ht="12" customHeight="1" x14ac:dyDescent="0.25">
      <c r="K112" s="287"/>
      <c r="L112" s="287"/>
      <c r="M112" s="287"/>
      <c r="N112" s="287"/>
      <c r="O112" s="287"/>
      <c r="Q112" s="295"/>
    </row>
    <row r="113" spans="11:17" ht="12" customHeight="1" x14ac:dyDescent="0.25">
      <c r="K113" s="287"/>
      <c r="L113" s="287"/>
      <c r="M113" s="287"/>
      <c r="N113" s="287"/>
      <c r="O113" s="287"/>
      <c r="Q113" s="295"/>
    </row>
    <row r="114" spans="11:17" ht="12" customHeight="1" x14ac:dyDescent="0.25">
      <c r="K114" s="287"/>
      <c r="L114" s="287"/>
      <c r="M114" s="287"/>
      <c r="N114" s="287"/>
      <c r="O114" s="287"/>
      <c r="Q114" s="295"/>
    </row>
    <row r="115" spans="11:17" ht="12" customHeight="1" x14ac:dyDescent="0.25">
      <c r="K115" s="287"/>
      <c r="L115" s="287"/>
      <c r="M115" s="287"/>
      <c r="N115" s="287"/>
      <c r="O115" s="287"/>
    </row>
    <row r="116" spans="11:17" ht="12" customHeight="1" x14ac:dyDescent="0.25">
      <c r="K116" s="287"/>
      <c r="L116" s="287"/>
      <c r="M116" s="287"/>
      <c r="N116" s="287"/>
      <c r="O116" s="287"/>
    </row>
    <row r="117" spans="11:17" ht="12" customHeight="1" x14ac:dyDescent="0.25">
      <c r="K117" s="287"/>
      <c r="L117" s="287"/>
      <c r="M117" s="287"/>
      <c r="N117" s="287"/>
      <c r="O117" s="287"/>
    </row>
    <row r="118" spans="11:17" ht="12" customHeight="1" x14ac:dyDescent="0.25">
      <c r="K118" s="287"/>
      <c r="L118" s="287"/>
      <c r="M118" s="287"/>
      <c r="N118" s="287"/>
      <c r="O118" s="287"/>
    </row>
    <row r="119" spans="11:17" ht="12" customHeight="1" x14ac:dyDescent="0.25">
      <c r="K119" s="287"/>
      <c r="L119" s="287"/>
      <c r="M119" s="287"/>
      <c r="N119" s="287"/>
      <c r="O119" s="287"/>
    </row>
    <row r="120" spans="11:17" ht="12" customHeight="1" x14ac:dyDescent="0.25">
      <c r="K120" s="287"/>
      <c r="L120" s="287"/>
      <c r="M120" s="287"/>
      <c r="N120" s="287"/>
      <c r="O120" s="287"/>
    </row>
    <row r="121" spans="11:17" ht="12" customHeight="1" x14ac:dyDescent="0.25">
      <c r="K121" s="287"/>
      <c r="L121" s="287"/>
      <c r="M121" s="287"/>
      <c r="N121" s="287"/>
      <c r="O121" s="287"/>
    </row>
    <row r="122" spans="11:17" ht="12" customHeight="1" x14ac:dyDescent="0.25">
      <c r="K122" s="287"/>
      <c r="L122" s="287"/>
      <c r="M122" s="287"/>
      <c r="N122" s="287"/>
      <c r="O122" s="287"/>
    </row>
    <row r="123" spans="11:17" ht="12" customHeight="1" x14ac:dyDescent="0.25">
      <c r="K123" s="287"/>
      <c r="L123" s="287"/>
      <c r="M123" s="287"/>
      <c r="N123" s="287"/>
      <c r="O123" s="287"/>
    </row>
    <row r="124" spans="11:17" ht="12" customHeight="1" x14ac:dyDescent="0.25">
      <c r="K124" s="287"/>
      <c r="L124" s="287"/>
      <c r="M124" s="287"/>
      <c r="N124" s="287"/>
      <c r="O124" s="287"/>
    </row>
    <row r="125" spans="11:17" ht="12" customHeight="1" x14ac:dyDescent="0.25">
      <c r="K125" s="287"/>
      <c r="L125" s="287"/>
      <c r="M125" s="287"/>
      <c r="N125" s="287"/>
      <c r="O125" s="287"/>
    </row>
    <row r="126" spans="11:17" ht="12" customHeight="1" x14ac:dyDescent="0.25">
      <c r="K126" s="287"/>
      <c r="L126" s="287"/>
      <c r="M126" s="287"/>
      <c r="N126" s="287"/>
      <c r="O126" s="287"/>
    </row>
    <row r="127" spans="11:17" ht="12" customHeight="1" x14ac:dyDescent="0.25">
      <c r="K127" s="287"/>
      <c r="L127" s="287"/>
      <c r="M127" s="287"/>
      <c r="N127" s="287"/>
      <c r="O127" s="287"/>
    </row>
    <row r="128" spans="11:17" ht="12" customHeight="1" x14ac:dyDescent="0.25">
      <c r="K128" s="287"/>
      <c r="L128" s="287"/>
      <c r="M128" s="287"/>
      <c r="N128" s="287"/>
      <c r="O128" s="287"/>
    </row>
    <row r="129" spans="11:15" ht="12" customHeight="1" x14ac:dyDescent="0.25">
      <c r="K129" s="287"/>
      <c r="L129" s="287"/>
      <c r="M129" s="287"/>
      <c r="N129" s="287"/>
      <c r="O129" s="287"/>
    </row>
    <row r="130" spans="11:15" ht="12" customHeight="1" x14ac:dyDescent="0.25">
      <c r="K130" s="287"/>
      <c r="L130" s="287"/>
      <c r="M130" s="287"/>
      <c r="N130" s="287"/>
      <c r="O130" s="287"/>
    </row>
    <row r="131" spans="11:15" ht="12" customHeight="1" x14ac:dyDescent="0.25">
      <c r="K131" s="287"/>
      <c r="L131" s="287"/>
      <c r="M131" s="287"/>
      <c r="N131" s="287"/>
      <c r="O131" s="287"/>
    </row>
    <row r="132" spans="11:15" ht="12" customHeight="1" x14ac:dyDescent="0.25">
      <c r="K132" s="287"/>
      <c r="L132" s="287"/>
      <c r="M132" s="287"/>
      <c r="N132" s="287"/>
      <c r="O132" s="287"/>
    </row>
    <row r="133" spans="11:15" ht="12" customHeight="1" x14ac:dyDescent="0.25">
      <c r="K133" s="287"/>
      <c r="L133" s="287"/>
      <c r="M133" s="287"/>
      <c r="N133" s="287"/>
      <c r="O133" s="287"/>
    </row>
    <row r="134" spans="11:15" ht="12" customHeight="1" x14ac:dyDescent="0.25">
      <c r="K134" s="287"/>
      <c r="L134" s="287"/>
      <c r="M134" s="287"/>
      <c r="N134" s="287"/>
      <c r="O134" s="287"/>
    </row>
    <row r="135" spans="11:15" ht="12" customHeight="1" x14ac:dyDescent="0.25">
      <c r="K135" s="287"/>
      <c r="L135" s="287"/>
      <c r="M135" s="287"/>
      <c r="N135" s="287"/>
      <c r="O135" s="287"/>
    </row>
    <row r="136" spans="11:15" ht="12" customHeight="1" x14ac:dyDescent="0.25"/>
    <row r="137" spans="11:15" ht="12" customHeight="1" x14ac:dyDescent="0.25"/>
    <row r="138" spans="11:15" ht="12" customHeight="1" x14ac:dyDescent="0.25"/>
    <row r="139" spans="11:15" ht="12" customHeight="1" x14ac:dyDescent="0.25"/>
    <row r="140" spans="11:15" ht="12" customHeight="1" x14ac:dyDescent="0.25"/>
    <row r="141" spans="11:15" ht="12" customHeight="1" x14ac:dyDescent="0.25"/>
    <row r="142" spans="11:15" ht="12" customHeight="1" x14ac:dyDescent="0.25"/>
    <row r="143" spans="11:15" ht="12" customHeight="1" x14ac:dyDescent="0.25"/>
    <row r="144" spans="11:15"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sheetData>
  <sheetProtection algorithmName="SHA-512" hashValue="nJZCQ+AhRJEY6B2Duc1zdpdptks6XeJzkQH3caDVQG18CpvjkgEG56FsydARR10H6dzoEwg5SPa0oXC/6I4HzQ==" saltValue="B520KkO/A9XMitrzhyjkSw==" spinCount="100000" sheet="1" objects="1" scenarios="1" formatColumns="0" formatRows="0"/>
  <dataValidations count="1">
    <dataValidation allowBlank="1" showInputMessage="1" showErrorMessage="1" prompt="NB. Geef in de kolommen S t/m BZ de fasering op in percentages. Zie ook aanvullende toelichting." sqref="J15" xr:uid="{AD0DB2C6-34D8-477F-90F0-BFB18F4D7491}"/>
  </dataValidations>
  <pageMargins left="0.74803149606299213" right="0.74803149606299213" top="0.74803149606299213" bottom="0.7480314960629921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E2961-9D2B-492A-8D29-59FC70C0838B}">
  <sheetPr codeName="Blad1">
    <tabColor rgb="FF00B0F0"/>
  </sheetPr>
  <dimension ref="A1:AO915"/>
  <sheetViews>
    <sheetView zoomScale="110" zoomScaleNormal="110" workbookViewId="0">
      <pane ySplit="5" topLeftCell="A6" activePane="bottomLeft" state="frozen"/>
      <selection pane="bottomLeft" activeCell="Z141" sqref="Z141"/>
    </sheetView>
  </sheetViews>
  <sheetFormatPr defaultColWidth="0" defaultRowHeight="12" zeroHeight="1" outlineLevelRow="1" x14ac:dyDescent="0.25"/>
  <cols>
    <col min="1" max="1" width="1.453125" style="761" customWidth="1"/>
    <col min="2" max="4" width="1.453125" style="731" customWidth="1"/>
    <col min="5" max="5" width="72.26953125" style="731" customWidth="1"/>
    <col min="6" max="6" width="10" style="731" bestFit="1" customWidth="1"/>
    <col min="7" max="7" width="10.7265625" style="731" bestFit="1" customWidth="1"/>
    <col min="8" max="8" width="2.1796875" style="731" hidden="1" customWidth="1"/>
    <col min="9" max="9" width="2.1796875" style="731" customWidth="1"/>
    <col min="10" max="10" width="12" style="734" customWidth="1"/>
    <col min="11" max="16" width="12" style="731" customWidth="1"/>
    <col min="17" max="17" width="12" style="735" customWidth="1"/>
    <col min="18" max="40" width="12" style="731" customWidth="1"/>
    <col min="41" max="41" width="8.7265625" style="731" customWidth="1"/>
    <col min="42" max="16384" width="0" style="731" hidden="1"/>
  </cols>
  <sheetData>
    <row r="1" spans="1:41" x14ac:dyDescent="0.25">
      <c r="A1" s="725"/>
      <c r="B1" s="726"/>
      <c r="C1" s="726"/>
      <c r="D1" s="726"/>
      <c r="E1" s="727"/>
      <c r="F1" s="727"/>
      <c r="G1" s="727"/>
      <c r="H1" s="727"/>
      <c r="I1" s="727"/>
      <c r="J1" s="728"/>
      <c r="K1" s="727"/>
      <c r="L1" s="727"/>
      <c r="M1" s="727"/>
      <c r="N1" s="727"/>
      <c r="O1" s="729"/>
      <c r="P1" s="727"/>
      <c r="Q1" s="730"/>
      <c r="R1" s="727"/>
      <c r="S1" s="727"/>
      <c r="T1" s="727"/>
      <c r="U1" s="727"/>
      <c r="V1" s="727"/>
      <c r="W1" s="727"/>
      <c r="X1" s="727"/>
      <c r="Y1" s="727"/>
      <c r="Z1" s="727"/>
      <c r="AA1" s="727"/>
      <c r="AB1" s="727"/>
      <c r="AC1" s="726"/>
    </row>
    <row r="2" spans="1:41" x14ac:dyDescent="0.25">
      <c r="A2" s="732" t="s">
        <v>529</v>
      </c>
      <c r="B2" s="733"/>
      <c r="C2" s="733"/>
      <c r="D2" s="733"/>
      <c r="E2" s="726"/>
      <c r="F2" s="726"/>
      <c r="G2" s="726"/>
      <c r="H2" s="726"/>
      <c r="I2" s="726"/>
      <c r="K2" s="726"/>
      <c r="L2" s="726"/>
      <c r="M2" s="726"/>
      <c r="N2" s="726"/>
      <c r="O2" s="726"/>
      <c r="P2" s="726"/>
      <c r="R2" s="726"/>
      <c r="S2" s="726"/>
      <c r="T2" s="726"/>
      <c r="U2" s="726"/>
      <c r="V2" s="726"/>
      <c r="W2" s="726"/>
      <c r="X2" s="726"/>
      <c r="Y2" s="726"/>
      <c r="Z2" s="726"/>
      <c r="AA2" s="726"/>
      <c r="AB2" s="726"/>
      <c r="AC2" s="726"/>
    </row>
    <row r="3" spans="1:41" x14ac:dyDescent="0.25">
      <c r="A3" s="725"/>
      <c r="B3" s="736"/>
      <c r="C3" s="726"/>
      <c r="D3" s="726"/>
      <c r="E3" s="726"/>
      <c r="F3" s="726"/>
      <c r="G3" s="726"/>
      <c r="H3" s="726"/>
      <c r="I3" s="726"/>
      <c r="K3" s="726"/>
      <c r="L3" s="726"/>
      <c r="M3" s="726"/>
      <c r="N3" s="726"/>
      <c r="O3" s="726"/>
      <c r="P3" s="726"/>
      <c r="R3" s="726"/>
      <c r="S3" s="726"/>
      <c r="T3" s="726"/>
      <c r="U3" s="726"/>
      <c r="V3" s="726"/>
      <c r="W3" s="726"/>
      <c r="X3" s="726"/>
      <c r="Y3" s="726"/>
      <c r="Z3" s="726"/>
      <c r="AA3" s="726"/>
      <c r="AB3" s="726"/>
      <c r="AC3" s="726"/>
    </row>
    <row r="4" spans="1:41" s="740" customFormat="1" x14ac:dyDescent="0.25">
      <c r="A4" s="737" t="s">
        <v>530</v>
      </c>
      <c r="B4" s="737"/>
      <c r="C4" s="737"/>
      <c r="D4" s="737"/>
      <c r="E4" s="737"/>
      <c r="F4" s="737"/>
      <c r="G4" s="737"/>
      <c r="H4" s="737"/>
      <c r="I4" s="737"/>
      <c r="J4" s="738"/>
      <c r="K4" s="737"/>
      <c r="L4" s="737"/>
      <c r="M4" s="737"/>
      <c r="N4" s="737"/>
      <c r="O4" s="737"/>
      <c r="P4" s="737"/>
      <c r="Q4" s="739"/>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row>
    <row r="5" spans="1:41" s="745" customFormat="1" x14ac:dyDescent="0.25">
      <c r="A5" s="741"/>
      <c r="B5" s="741"/>
      <c r="C5" s="741"/>
      <c r="D5" s="741"/>
      <c r="E5" s="741" t="s">
        <v>531</v>
      </c>
      <c r="F5" s="741"/>
      <c r="G5" s="741"/>
      <c r="H5" s="741"/>
      <c r="I5" s="741"/>
      <c r="J5" s="742">
        <f>'ORT uitgangspunten'!P18</f>
        <v>1900</v>
      </c>
      <c r="K5" s="743">
        <f>'ORT uitgangspunten'!Q18</f>
        <v>1901</v>
      </c>
      <c r="L5" s="743">
        <f>'ORT uitgangspunten'!R18</f>
        <v>1902</v>
      </c>
      <c r="M5" s="743">
        <f>'ORT uitgangspunten'!S18</f>
        <v>1903</v>
      </c>
      <c r="N5" s="743">
        <f>'ORT uitgangspunten'!T18</f>
        <v>1904</v>
      </c>
      <c r="O5" s="743">
        <f>'ORT uitgangspunten'!U18</f>
        <v>1905</v>
      </c>
      <c r="P5" s="743">
        <f>'ORT uitgangspunten'!V18</f>
        <v>1906</v>
      </c>
      <c r="Q5" s="744">
        <f>'ORT uitgangspunten'!W18</f>
        <v>1907</v>
      </c>
      <c r="R5" s="743">
        <f>'ORT uitgangspunten'!X18</f>
        <v>1908</v>
      </c>
      <c r="S5" s="743">
        <f>'ORT uitgangspunten'!Y18</f>
        <v>1909</v>
      </c>
      <c r="T5" s="743">
        <f>'ORT uitgangspunten'!Z18</f>
        <v>1910</v>
      </c>
      <c r="U5" s="743">
        <f>'ORT uitgangspunten'!AA18</f>
        <v>1911</v>
      </c>
      <c r="V5" s="743">
        <f>'ORT uitgangspunten'!AB18</f>
        <v>1912</v>
      </c>
      <c r="W5" s="743">
        <f>'ORT uitgangspunten'!AC18</f>
        <v>1913</v>
      </c>
      <c r="X5" s="743">
        <f>'ORT uitgangspunten'!AD18</f>
        <v>1914</v>
      </c>
      <c r="Y5" s="743">
        <f>'ORT uitgangspunten'!AE18</f>
        <v>1915</v>
      </c>
      <c r="Z5" s="743">
        <f>'ORT uitgangspunten'!AF18</f>
        <v>1916</v>
      </c>
      <c r="AA5" s="743">
        <f>'ORT uitgangspunten'!AG18</f>
        <v>1917</v>
      </c>
      <c r="AB5" s="743">
        <f>'ORT uitgangspunten'!AH18</f>
        <v>1918</v>
      </c>
      <c r="AC5" s="743">
        <f>'ORT uitgangspunten'!AI18</f>
        <v>1919</v>
      </c>
      <c r="AD5" s="743">
        <f>'ORT uitgangspunten'!AJ18</f>
        <v>1920</v>
      </c>
      <c r="AE5" s="743">
        <f>'ORT uitgangspunten'!AK18</f>
        <v>1921</v>
      </c>
      <c r="AF5" s="743">
        <f>'ORT uitgangspunten'!AL18</f>
        <v>1922</v>
      </c>
      <c r="AG5" s="743">
        <f>'ORT uitgangspunten'!AM18</f>
        <v>1923</v>
      </c>
      <c r="AH5" s="743">
        <f>'ORT uitgangspunten'!AN18</f>
        <v>1924</v>
      </c>
      <c r="AI5" s="743">
        <f>'ORT uitgangspunten'!AO18</f>
        <v>1925</v>
      </c>
      <c r="AJ5" s="743">
        <f>'ORT uitgangspunten'!AP18</f>
        <v>1926</v>
      </c>
      <c r="AK5" s="743">
        <f>'ORT uitgangspunten'!AQ18</f>
        <v>1927</v>
      </c>
      <c r="AL5" s="743">
        <f>'ORT uitgangspunten'!AR18</f>
        <v>1928</v>
      </c>
      <c r="AM5" s="743">
        <f>'ORT uitgangspunten'!AS18</f>
        <v>1929</v>
      </c>
      <c r="AN5" s="743">
        <f>'ORT uitgangspunten'!AT18</f>
        <v>1930</v>
      </c>
    </row>
    <row r="6" spans="1:41" s="749" customFormat="1" x14ac:dyDescent="0.25">
      <c r="A6" s="741"/>
      <c r="B6" s="741"/>
      <c r="C6" s="741"/>
      <c r="D6" s="741"/>
      <c r="E6" s="741" t="s">
        <v>532</v>
      </c>
      <c r="F6" s="741"/>
      <c r="G6" s="741"/>
      <c r="H6" s="741"/>
      <c r="I6" s="741"/>
      <c r="J6" s="746">
        <f>'ORT uitgangspunten'!P63</f>
        <v>1</v>
      </c>
      <c r="K6" s="747">
        <f>'ORT uitgangspunten'!Q63</f>
        <v>2</v>
      </c>
      <c r="L6" s="747">
        <f>'ORT uitgangspunten'!R63</f>
        <v>3</v>
      </c>
      <c r="M6" s="747">
        <f>'ORT uitgangspunten'!S63</f>
        <v>4</v>
      </c>
      <c r="N6" s="747">
        <f>'ORT uitgangspunten'!T63</f>
        <v>5</v>
      </c>
      <c r="O6" s="747">
        <f>'ORT uitgangspunten'!U63</f>
        <v>6</v>
      </c>
      <c r="P6" s="747">
        <f>'ORT uitgangspunten'!V63</f>
        <v>7</v>
      </c>
      <c r="Q6" s="748">
        <f>'ORT uitgangspunten'!W63</f>
        <v>8</v>
      </c>
      <c r="R6" s="747">
        <f>'ORT uitgangspunten'!X63</f>
        <v>9</v>
      </c>
      <c r="S6" s="747">
        <f>'ORT uitgangspunten'!Y63</f>
        <v>10</v>
      </c>
      <c r="T6" s="747">
        <f>'ORT uitgangspunten'!Z63</f>
        <v>11</v>
      </c>
      <c r="U6" s="747">
        <f>'ORT uitgangspunten'!AA63</f>
        <v>12</v>
      </c>
      <c r="V6" s="747">
        <f>'ORT uitgangspunten'!AB63</f>
        <v>13</v>
      </c>
      <c r="W6" s="747">
        <f>'ORT uitgangspunten'!AC63</f>
        <v>14</v>
      </c>
      <c r="X6" s="747">
        <f>'ORT uitgangspunten'!AD63</f>
        <v>15</v>
      </c>
      <c r="Y6" s="747">
        <f>'ORT uitgangspunten'!AE63</f>
        <v>16</v>
      </c>
      <c r="Z6" s="747">
        <f>'ORT uitgangspunten'!AF63</f>
        <v>17</v>
      </c>
      <c r="AA6" s="747">
        <f>'ORT uitgangspunten'!AG63</f>
        <v>18</v>
      </c>
      <c r="AB6" s="747">
        <f>'ORT uitgangspunten'!AH63</f>
        <v>19</v>
      </c>
      <c r="AC6" s="747">
        <f>'ORT uitgangspunten'!AI63</f>
        <v>20</v>
      </c>
      <c r="AD6" s="747">
        <f>'ORT uitgangspunten'!AJ63</f>
        <v>21</v>
      </c>
      <c r="AE6" s="747">
        <f>'ORT uitgangspunten'!AK63</f>
        <v>22</v>
      </c>
      <c r="AF6" s="747">
        <f>'ORT uitgangspunten'!AL63</f>
        <v>23</v>
      </c>
      <c r="AG6" s="747">
        <f>'ORT uitgangspunten'!AM63</f>
        <v>24</v>
      </c>
      <c r="AH6" s="747">
        <f>'ORT uitgangspunten'!AN63</f>
        <v>25</v>
      </c>
      <c r="AI6" s="747">
        <f>'ORT uitgangspunten'!AO63</f>
        <v>26</v>
      </c>
      <c r="AJ6" s="747">
        <f>'ORT uitgangspunten'!AP63</f>
        <v>27</v>
      </c>
      <c r="AK6" s="747">
        <f>'ORT uitgangspunten'!AQ63</f>
        <v>28</v>
      </c>
      <c r="AL6" s="747">
        <f>'ORT uitgangspunten'!AR63</f>
        <v>29</v>
      </c>
      <c r="AM6" s="747">
        <f>'ORT uitgangspunten'!AS63</f>
        <v>30</v>
      </c>
      <c r="AN6" s="747">
        <f>'ORT uitgangspunten'!AT63</f>
        <v>31</v>
      </c>
    </row>
    <row r="7" spans="1:41" x14ac:dyDescent="0.25">
      <c r="A7" s="750"/>
      <c r="B7" s="751" t="s">
        <v>533</v>
      </c>
      <c r="C7" s="752"/>
      <c r="D7" s="752"/>
      <c r="E7" s="752"/>
      <c r="F7" s="752"/>
      <c r="G7" s="752"/>
      <c r="H7" s="752"/>
      <c r="I7" s="752"/>
      <c r="J7" s="753"/>
      <c r="K7" s="754"/>
      <c r="L7" s="754"/>
      <c r="M7" s="754"/>
      <c r="N7" s="754"/>
      <c r="O7" s="754"/>
    </row>
    <row r="8" spans="1:41" s="757" customFormat="1" x14ac:dyDescent="0.25">
      <c r="A8" s="755"/>
      <c r="B8" s="756"/>
      <c r="E8" s="757" t="str">
        <f>'ORT uitgangspunten'!E65</f>
        <v>Indexatie OPEX</v>
      </c>
      <c r="F8" s="758">
        <f>'ORT uitgangspunten'!G65</f>
        <v>0.02</v>
      </c>
      <c r="J8" s="759">
        <f>'ORT uitgangspunten'!P65</f>
        <v>1</v>
      </c>
      <c r="K8" s="757">
        <f>'ORT uitgangspunten'!Q65</f>
        <v>1.02</v>
      </c>
      <c r="L8" s="757">
        <f>'ORT uitgangspunten'!R65</f>
        <v>1.0404</v>
      </c>
      <c r="M8" s="757">
        <f>'ORT uitgangspunten'!S65</f>
        <v>1.0612079999999999</v>
      </c>
      <c r="N8" s="757">
        <f>'ORT uitgangspunten'!T65</f>
        <v>1.08243216</v>
      </c>
      <c r="O8" s="757">
        <f>'ORT uitgangspunten'!U65</f>
        <v>1.1040808032</v>
      </c>
      <c r="P8" s="757">
        <f>'ORT uitgangspunten'!V65</f>
        <v>1.1261624192640001</v>
      </c>
      <c r="Q8" s="760">
        <f>'ORT uitgangspunten'!W65</f>
        <v>1.1486856676492798</v>
      </c>
      <c r="R8" s="757">
        <f>'ORT uitgangspunten'!X65</f>
        <v>1.1716593810022655</v>
      </c>
      <c r="S8" s="757">
        <f>'ORT uitgangspunten'!Y65</f>
        <v>1.1950925686223108</v>
      </c>
      <c r="T8" s="757">
        <f>'ORT uitgangspunten'!Z65</f>
        <v>1.2189944199947571</v>
      </c>
      <c r="U8" s="757">
        <f>'ORT uitgangspunten'!AA65</f>
        <v>1.243374308394652</v>
      </c>
      <c r="V8" s="757">
        <f>'ORT uitgangspunten'!AB65</f>
        <v>1.2682417945625453</v>
      </c>
      <c r="W8" s="757">
        <f>'ORT uitgangspunten'!AC65</f>
        <v>1.2936066304537961</v>
      </c>
      <c r="X8" s="757">
        <f>'ORT uitgangspunten'!AD65</f>
        <v>1.3194787630628722</v>
      </c>
      <c r="Y8" s="757">
        <f>'ORT uitgangspunten'!AE65</f>
        <v>1.3458683383241292</v>
      </c>
      <c r="Z8" s="757">
        <f>'ORT uitgangspunten'!AF65</f>
        <v>1.372785705090612</v>
      </c>
      <c r="AA8" s="757">
        <f>'ORT uitgangspunten'!AG65</f>
        <v>1.4002414191924244</v>
      </c>
      <c r="AB8" s="757">
        <f>'ORT uitgangspunten'!AH65</f>
        <v>1.4282462475762727</v>
      </c>
      <c r="AC8" s="757">
        <f>'ORT uitgangspunten'!AI65</f>
        <v>1.4568111725277981</v>
      </c>
      <c r="AD8" s="757">
        <f>'ORT uitgangspunten'!AJ65</f>
        <v>1.4859473959783542</v>
      </c>
      <c r="AE8" s="757">
        <f>'ORT uitgangspunten'!AK65</f>
        <v>1.5156663438979212</v>
      </c>
      <c r="AF8" s="757">
        <f>'ORT uitgangspunten'!AL65</f>
        <v>1.5459796707758797</v>
      </c>
      <c r="AG8" s="757">
        <f>'ORT uitgangspunten'!AM65</f>
        <v>1.576899264191397</v>
      </c>
      <c r="AH8" s="757">
        <f>'ORT uitgangspunten'!AN65</f>
        <v>1.608437249475225</v>
      </c>
      <c r="AI8" s="757">
        <f>'ORT uitgangspunten'!AO65</f>
        <v>1.6406059944647295</v>
      </c>
      <c r="AJ8" s="757">
        <f>'ORT uitgangspunten'!AP65</f>
        <v>1.6734181143540243</v>
      </c>
      <c r="AK8" s="757">
        <f>'ORT uitgangspunten'!AQ65</f>
        <v>1.7068864766411045</v>
      </c>
      <c r="AL8" s="757">
        <f>'ORT uitgangspunten'!AR65</f>
        <v>1.7410242061739269</v>
      </c>
      <c r="AM8" s="757">
        <f>'ORT uitgangspunten'!AS65</f>
        <v>1.7758446902974052</v>
      </c>
      <c r="AN8" s="757">
        <f>'ORT uitgangspunten'!AT65</f>
        <v>1.8113615841033535</v>
      </c>
    </row>
    <row r="9" spans="1:41" s="757" customFormat="1" x14ac:dyDescent="0.25">
      <c r="A9" s="755"/>
      <c r="B9" s="756"/>
      <c r="E9" s="757" t="str">
        <f>'ORT uitgangspunten'!E66</f>
        <v>Indexatie CAPEX</v>
      </c>
      <c r="F9" s="758">
        <f>'ORT uitgangspunten'!G66</f>
        <v>0</v>
      </c>
      <c r="J9" s="759">
        <f>'ORT uitgangspunten'!P66</f>
        <v>1</v>
      </c>
      <c r="K9" s="757">
        <f>'ORT uitgangspunten'!Q66</f>
        <v>1</v>
      </c>
      <c r="L9" s="757">
        <f>'ORT uitgangspunten'!R66</f>
        <v>1</v>
      </c>
      <c r="M9" s="757">
        <f>'ORT uitgangspunten'!S66</f>
        <v>1</v>
      </c>
      <c r="N9" s="757">
        <f>'ORT uitgangspunten'!T66</f>
        <v>1</v>
      </c>
      <c r="O9" s="757">
        <f>'ORT uitgangspunten'!U66</f>
        <v>1</v>
      </c>
      <c r="P9" s="757">
        <f>'ORT uitgangspunten'!V66</f>
        <v>1</v>
      </c>
      <c r="Q9" s="760">
        <f>'ORT uitgangspunten'!W66</f>
        <v>1</v>
      </c>
      <c r="R9" s="757">
        <f>'ORT uitgangspunten'!X66</f>
        <v>1</v>
      </c>
      <c r="S9" s="757">
        <f>'ORT uitgangspunten'!Y66</f>
        <v>1</v>
      </c>
      <c r="T9" s="757">
        <f>'ORT uitgangspunten'!Z66</f>
        <v>1</v>
      </c>
      <c r="U9" s="757">
        <f>'ORT uitgangspunten'!AA66</f>
        <v>1</v>
      </c>
      <c r="V9" s="757">
        <f>'ORT uitgangspunten'!AB66</f>
        <v>1</v>
      </c>
      <c r="W9" s="757">
        <f>'ORT uitgangspunten'!AC66</f>
        <v>1</v>
      </c>
      <c r="X9" s="757">
        <f>'ORT uitgangspunten'!AD66</f>
        <v>1</v>
      </c>
      <c r="Y9" s="757">
        <f>'ORT uitgangspunten'!AE66</f>
        <v>1</v>
      </c>
      <c r="Z9" s="757">
        <f>'ORT uitgangspunten'!AF66</f>
        <v>1</v>
      </c>
      <c r="AA9" s="757">
        <f>'ORT uitgangspunten'!AG66</f>
        <v>1</v>
      </c>
      <c r="AB9" s="757">
        <f>'ORT uitgangspunten'!AH66</f>
        <v>1</v>
      </c>
      <c r="AC9" s="757">
        <f>'ORT uitgangspunten'!AI66</f>
        <v>1</v>
      </c>
      <c r="AD9" s="757">
        <f>'ORT uitgangspunten'!AJ66</f>
        <v>1</v>
      </c>
      <c r="AE9" s="757">
        <f>'ORT uitgangspunten'!AK66</f>
        <v>1</v>
      </c>
      <c r="AF9" s="757">
        <f>'ORT uitgangspunten'!AL66</f>
        <v>1</v>
      </c>
      <c r="AG9" s="757">
        <f>'ORT uitgangspunten'!AM66</f>
        <v>1</v>
      </c>
      <c r="AH9" s="757">
        <f>'ORT uitgangspunten'!AN66</f>
        <v>1</v>
      </c>
      <c r="AI9" s="757">
        <f>'ORT uitgangspunten'!AO66</f>
        <v>1</v>
      </c>
      <c r="AJ9" s="757">
        <f>'ORT uitgangspunten'!AP66</f>
        <v>1</v>
      </c>
      <c r="AK9" s="757">
        <f>'ORT uitgangspunten'!AQ66</f>
        <v>1</v>
      </c>
      <c r="AL9" s="757">
        <f>'ORT uitgangspunten'!AR66</f>
        <v>1</v>
      </c>
      <c r="AM9" s="757">
        <f>'ORT uitgangspunten'!AS66</f>
        <v>1</v>
      </c>
      <c r="AN9" s="757">
        <f>'ORT uitgangspunten'!AT66</f>
        <v>1</v>
      </c>
    </row>
    <row r="10" spans="1:41" s="757" customFormat="1" x14ac:dyDescent="0.25">
      <c r="A10" s="755"/>
      <c r="B10" s="756"/>
      <c r="F10" s="758"/>
      <c r="J10" s="759"/>
      <c r="Q10" s="760"/>
    </row>
    <row r="11" spans="1:41" x14ac:dyDescent="0.25">
      <c r="E11" s="731" t="str">
        <f>Begroting!B44</f>
        <v>Investering in primaire netten</v>
      </c>
      <c r="F11" s="731">
        <f>Begroting!Q65</f>
        <v>0</v>
      </c>
      <c r="G11" s="762" t="s">
        <v>534</v>
      </c>
    </row>
    <row r="12" spans="1:41" s="757" customFormat="1" x14ac:dyDescent="0.25">
      <c r="A12" s="755"/>
      <c r="B12" s="756"/>
      <c r="E12" s="763" t="s">
        <v>535</v>
      </c>
      <c r="F12" s="764">
        <v>30</v>
      </c>
      <c r="G12" s="757" t="s">
        <v>503</v>
      </c>
      <c r="J12" s="759"/>
      <c r="Q12" s="760"/>
    </row>
    <row r="13" spans="1:41" s="766" customFormat="1" hidden="1" outlineLevel="1" x14ac:dyDescent="0.25">
      <c r="A13" s="765"/>
      <c r="E13" s="767">
        <v>1</v>
      </c>
      <c r="J13" s="768" cm="1">
        <f t="array" ref="J13">SUMPRODUCT( (Begroting!$B$47:$B$63=$E13) * (Begroting!$Q$47:$Q$63) )*'Mijlpaal Berekening'!C51</f>
        <v>0</v>
      </c>
      <c r="K13" s="766" cm="1">
        <f t="array" ref="K13">SUMPRODUCT( (Begroting!$B$47:$B$63=$E13) * (Begroting!$Q$47:$Q$63) )*'Mijlpaal Berekening'!D51</f>
        <v>0</v>
      </c>
      <c r="L13" s="766" cm="1">
        <f t="array" ref="L13">SUMPRODUCT( (Begroting!$B$47:$B$63=$E13) * (Begroting!$Q$47:$Q$63) )*'Mijlpaal Berekening'!E51</f>
        <v>0</v>
      </c>
      <c r="M13" s="766" cm="1">
        <f t="array" ref="M13">SUMPRODUCT( (Begroting!$B$47:$B$63=$E13) * (Begroting!$Q$47:$Q$63) )*'Mijlpaal Berekening'!F51</f>
        <v>0</v>
      </c>
      <c r="N13" s="766" cm="1">
        <f t="array" ref="N13">SUMPRODUCT( (Begroting!$B$47:$B$63=$E13) * (Begroting!$Q$47:$Q$63) )*'Mijlpaal Berekening'!G51</f>
        <v>0</v>
      </c>
      <c r="O13" s="766" cm="1">
        <f t="array" ref="O13">SUMPRODUCT( (Begroting!$B$47:$B$63=$E13) * (Begroting!$Q$47:$Q$63) )*'Mijlpaal Berekening'!H51</f>
        <v>0</v>
      </c>
      <c r="P13" s="766" cm="1">
        <f t="array" ref="P13">SUMPRODUCT( (Begroting!$B$47:$B$63=$E13) * (Begroting!$Q$47:$Q$63) )*'Mijlpaal Berekening'!I51</f>
        <v>0</v>
      </c>
      <c r="Q13" s="769" cm="1">
        <f t="array" ref="Q13">SUMPRODUCT( (Begroting!$B$47:$B$63=$E13) * (Begroting!$Q$47:$Q$63) )*'Mijlpaal Berekening'!J51</f>
        <v>0</v>
      </c>
    </row>
    <row r="14" spans="1:41" s="766" customFormat="1" hidden="1" outlineLevel="1" x14ac:dyDescent="0.25">
      <c r="A14" s="765"/>
      <c r="E14" s="767">
        <v>2</v>
      </c>
      <c r="J14" s="768" cm="1">
        <f t="array" ref="J14">SUMPRODUCT( (Begroting!$B$47:$B$63=$E14) * (Begroting!$Q$47:$Q$63) )*'Mijlpaal Berekening'!C52</f>
        <v>0</v>
      </c>
      <c r="K14" s="766" cm="1">
        <f t="array" ref="K14">SUMPRODUCT( (Begroting!$B$47:$B$63=$E14) * (Begroting!$Q$47:$Q$63) )*'Mijlpaal Berekening'!D52</f>
        <v>0</v>
      </c>
      <c r="L14" s="766" cm="1">
        <f t="array" ref="L14">SUMPRODUCT( (Begroting!$B$47:$B$63=$E14) * (Begroting!$Q$47:$Q$63) )*'Mijlpaal Berekening'!E52</f>
        <v>0</v>
      </c>
      <c r="M14" s="766" cm="1">
        <f t="array" ref="M14">SUMPRODUCT( (Begroting!$B$47:$B$63=$E14) * (Begroting!$Q$47:$Q$63) )*'Mijlpaal Berekening'!F52</f>
        <v>0</v>
      </c>
      <c r="N14" s="766" cm="1">
        <f t="array" ref="N14">SUMPRODUCT( (Begroting!$B$47:$B$63=$E14) * (Begroting!$Q$47:$Q$63) )*'Mijlpaal Berekening'!G52</f>
        <v>0</v>
      </c>
      <c r="O14" s="766" cm="1">
        <f t="array" ref="O14">SUMPRODUCT( (Begroting!$B$47:$B$63=$E14) * (Begroting!$Q$47:$Q$63) )*'Mijlpaal Berekening'!H52</f>
        <v>0</v>
      </c>
      <c r="P14" s="766" cm="1">
        <f t="array" ref="P14">SUMPRODUCT( (Begroting!$B$47:$B$63=$E14) * (Begroting!$Q$47:$Q$63) )*'Mijlpaal Berekening'!I52</f>
        <v>0</v>
      </c>
      <c r="Q14" s="769" cm="1">
        <f t="array" ref="Q14">SUMPRODUCT( (Begroting!$B$47:$B$63=$E14) * (Begroting!$Q$47:$Q$63) )*'Mijlpaal Berekening'!J52</f>
        <v>0</v>
      </c>
    </row>
    <row r="15" spans="1:41" s="766" customFormat="1" hidden="1" outlineLevel="1" x14ac:dyDescent="0.25">
      <c r="A15" s="765"/>
      <c r="E15" s="767">
        <v>3</v>
      </c>
      <c r="J15" s="768" cm="1">
        <f t="array" ref="J15">SUMPRODUCT( (Begroting!$B$47:$B$63=$E15) * (Begroting!$Q$47:$Q$63) )*'Mijlpaal Berekening'!C53</f>
        <v>0</v>
      </c>
      <c r="K15" s="766" cm="1">
        <f t="array" ref="K15">SUMPRODUCT( (Begroting!$B$47:$B$63=$E15) * (Begroting!$Q$47:$Q$63) )*'Mijlpaal Berekening'!D53</f>
        <v>0</v>
      </c>
      <c r="L15" s="766" cm="1">
        <f t="array" ref="L15">SUMPRODUCT( (Begroting!$B$47:$B$63=$E15) * (Begroting!$Q$47:$Q$63) )*'Mijlpaal Berekening'!E53</f>
        <v>0</v>
      </c>
      <c r="M15" s="766" cm="1">
        <f t="array" ref="M15">SUMPRODUCT( (Begroting!$B$47:$B$63=$E15) * (Begroting!$Q$47:$Q$63) )*'Mijlpaal Berekening'!F53</f>
        <v>0</v>
      </c>
      <c r="N15" s="766" cm="1">
        <f t="array" ref="N15">SUMPRODUCT( (Begroting!$B$47:$B$63=$E15) * (Begroting!$Q$47:$Q$63) )*'Mijlpaal Berekening'!G53</f>
        <v>0</v>
      </c>
      <c r="O15" s="766" cm="1">
        <f t="array" ref="O15">SUMPRODUCT( (Begroting!$B$47:$B$63=$E15) * (Begroting!$Q$47:$Q$63) )*'Mijlpaal Berekening'!H53</f>
        <v>0</v>
      </c>
      <c r="P15" s="766" cm="1">
        <f t="array" ref="P15">SUMPRODUCT( (Begroting!$B$47:$B$63=$E15) * (Begroting!$Q$47:$Q$63) )*'Mijlpaal Berekening'!I53</f>
        <v>0</v>
      </c>
      <c r="Q15" s="769" cm="1">
        <f t="array" ref="Q15">SUMPRODUCT( (Begroting!$B$47:$B$63=$E15) * (Begroting!$Q$47:$Q$63) )*'Mijlpaal Berekening'!J53</f>
        <v>0</v>
      </c>
    </row>
    <row r="16" spans="1:41" s="766" customFormat="1" hidden="1" outlineLevel="1" x14ac:dyDescent="0.25">
      <c r="A16" s="765"/>
      <c r="E16" s="767">
        <v>4</v>
      </c>
      <c r="J16" s="768" cm="1">
        <f t="array" ref="J16">SUMPRODUCT( (Begroting!$B$47:$B$63=$E16) * (Begroting!$Q$47:$Q$63) )*'Mijlpaal Berekening'!C54</f>
        <v>0</v>
      </c>
      <c r="K16" s="766" cm="1">
        <f t="array" ref="K16">SUMPRODUCT( (Begroting!$B$47:$B$63=$E16) * (Begroting!$Q$47:$Q$63) )*'Mijlpaal Berekening'!D54</f>
        <v>0</v>
      </c>
      <c r="L16" s="766" cm="1">
        <f t="array" ref="L16">SUMPRODUCT( (Begroting!$B$47:$B$63=$E16) * (Begroting!$Q$47:$Q$63) )*'Mijlpaal Berekening'!E54</f>
        <v>0</v>
      </c>
      <c r="M16" s="766" cm="1">
        <f t="array" ref="M16">SUMPRODUCT( (Begroting!$B$47:$B$63=$E16) * (Begroting!$Q$47:$Q$63) )*'Mijlpaal Berekening'!F54</f>
        <v>0</v>
      </c>
      <c r="N16" s="766" cm="1">
        <f t="array" ref="N16">SUMPRODUCT( (Begroting!$B$47:$B$63=$E16) * (Begroting!$Q$47:$Q$63) )*'Mijlpaal Berekening'!G54</f>
        <v>0</v>
      </c>
      <c r="O16" s="766" cm="1">
        <f t="array" ref="O16">SUMPRODUCT( (Begroting!$B$47:$B$63=$E16) * (Begroting!$Q$47:$Q$63) )*'Mijlpaal Berekening'!H54</f>
        <v>0</v>
      </c>
      <c r="P16" s="766" cm="1">
        <f t="array" ref="P16">SUMPRODUCT( (Begroting!$B$47:$B$63=$E16) * (Begroting!$Q$47:$Q$63) )*'Mijlpaal Berekening'!I54</f>
        <v>0</v>
      </c>
      <c r="Q16" s="769" cm="1">
        <f t="array" ref="Q16">SUMPRODUCT( (Begroting!$B$47:$B$63=$E16) * (Begroting!$Q$47:$Q$63) )*'Mijlpaal Berekening'!J54</f>
        <v>0</v>
      </c>
    </row>
    <row r="17" spans="1:41" s="766" customFormat="1" hidden="1" outlineLevel="1" x14ac:dyDescent="0.25">
      <c r="A17" s="765"/>
      <c r="E17" s="767">
        <v>5</v>
      </c>
      <c r="J17" s="768" cm="1">
        <f t="array" ref="J17">SUMPRODUCT( (Begroting!$B$47:$B$63=$E17) * (Begroting!$Q$47:$Q$63) )*'Mijlpaal Berekening'!C55</f>
        <v>0</v>
      </c>
      <c r="K17" s="766" cm="1">
        <f t="array" ref="K17">SUMPRODUCT( (Begroting!$B$47:$B$63=$E17) * (Begroting!$Q$47:$Q$63) )*'Mijlpaal Berekening'!D55</f>
        <v>0</v>
      </c>
      <c r="L17" s="766" cm="1">
        <f t="array" ref="L17">SUMPRODUCT( (Begroting!$B$47:$B$63=$E17) * (Begroting!$Q$47:$Q$63) )*'Mijlpaal Berekening'!E55</f>
        <v>0</v>
      </c>
      <c r="M17" s="766" cm="1">
        <f t="array" ref="M17">SUMPRODUCT( (Begroting!$B$47:$B$63=$E17) * (Begroting!$Q$47:$Q$63) )*'Mijlpaal Berekening'!F55</f>
        <v>0</v>
      </c>
      <c r="N17" s="766" cm="1">
        <f t="array" ref="N17">SUMPRODUCT( (Begroting!$B$47:$B$63=$E17) * (Begroting!$Q$47:$Q$63) )*'Mijlpaal Berekening'!G55</f>
        <v>0</v>
      </c>
      <c r="O17" s="766" cm="1">
        <f t="array" ref="O17">SUMPRODUCT( (Begroting!$B$47:$B$63=$E17) * (Begroting!$Q$47:$Q$63) )*'Mijlpaal Berekening'!H55</f>
        <v>0</v>
      </c>
      <c r="P17" s="766" cm="1">
        <f t="array" ref="P17">SUMPRODUCT( (Begroting!$B$47:$B$63=$E17) * (Begroting!$Q$47:$Q$63) )*'Mijlpaal Berekening'!I55</f>
        <v>0</v>
      </c>
      <c r="Q17" s="769" cm="1">
        <f t="array" ref="Q17">SUMPRODUCT( (Begroting!$B$47:$B$63=$E17) * (Begroting!$Q$47:$Q$63) )*'Mijlpaal Berekening'!J55</f>
        <v>0</v>
      </c>
    </row>
    <row r="18" spans="1:41" s="766" customFormat="1" hidden="1" outlineLevel="1" x14ac:dyDescent="0.25">
      <c r="A18" s="765"/>
      <c r="E18" s="767">
        <v>6</v>
      </c>
      <c r="J18" s="768" cm="1">
        <f t="array" ref="J18">SUMPRODUCT( (Begroting!$B$47:$B$63=$E18) * (Begroting!$Q$47:$Q$63) )*'Mijlpaal Berekening'!C56</f>
        <v>0</v>
      </c>
      <c r="K18" s="766" cm="1">
        <f t="array" ref="K18">SUMPRODUCT( (Begroting!$B$47:$B$63=$E18) * (Begroting!$Q$47:$Q$63) )*'Mijlpaal Berekening'!D56</f>
        <v>0</v>
      </c>
      <c r="L18" s="766" cm="1">
        <f t="array" ref="L18">SUMPRODUCT( (Begroting!$B$47:$B$63=$E18) * (Begroting!$Q$47:$Q$63) )*'Mijlpaal Berekening'!E56</f>
        <v>0</v>
      </c>
      <c r="M18" s="766" cm="1">
        <f t="array" ref="M18">SUMPRODUCT( (Begroting!$B$47:$B$63=$E18) * (Begroting!$Q$47:$Q$63) )*'Mijlpaal Berekening'!F56</f>
        <v>0</v>
      </c>
      <c r="N18" s="766" cm="1">
        <f t="array" ref="N18">SUMPRODUCT( (Begroting!$B$47:$B$63=$E18) * (Begroting!$Q$47:$Q$63) )*'Mijlpaal Berekening'!G56</f>
        <v>0</v>
      </c>
      <c r="O18" s="766" cm="1">
        <f t="array" ref="O18">SUMPRODUCT( (Begroting!$B$47:$B$63=$E18) * (Begroting!$Q$47:$Q$63) )*'Mijlpaal Berekening'!H56</f>
        <v>0</v>
      </c>
      <c r="P18" s="766" cm="1">
        <f t="array" ref="P18">SUMPRODUCT( (Begroting!$B$47:$B$63=$E18) * (Begroting!$Q$47:$Q$63) )*'Mijlpaal Berekening'!I56</f>
        <v>0</v>
      </c>
      <c r="Q18" s="769" cm="1">
        <f t="array" ref="Q18">SUMPRODUCT( (Begroting!$B$47:$B$63=$E18) * (Begroting!$Q$47:$Q$63) )*'Mijlpaal Berekening'!J56</f>
        <v>0</v>
      </c>
    </row>
    <row r="19" spans="1:41" s="766" customFormat="1" hidden="1" outlineLevel="1" x14ac:dyDescent="0.25">
      <c r="A19" s="765"/>
      <c r="E19" s="767">
        <v>7</v>
      </c>
      <c r="J19" s="768" cm="1">
        <f t="array" ref="J19">SUMPRODUCT( (Begroting!$B$47:$B$63=$E19) * (Begroting!$Q$47:$Q$63) )*'Mijlpaal Berekening'!C57</f>
        <v>0</v>
      </c>
      <c r="K19" s="766" cm="1">
        <f t="array" ref="K19">SUMPRODUCT( (Begroting!$B$47:$B$63=$E19) * (Begroting!$Q$47:$Q$63) )*'Mijlpaal Berekening'!D57</f>
        <v>0</v>
      </c>
      <c r="L19" s="766" cm="1">
        <f t="array" ref="L19">SUMPRODUCT( (Begroting!$B$47:$B$63=$E19) * (Begroting!$Q$47:$Q$63) )*'Mijlpaal Berekening'!E57</f>
        <v>0</v>
      </c>
      <c r="M19" s="766" cm="1">
        <f t="array" ref="M19">SUMPRODUCT( (Begroting!$B$47:$B$63=$E19) * (Begroting!$Q$47:$Q$63) )*'Mijlpaal Berekening'!F57</f>
        <v>0</v>
      </c>
      <c r="N19" s="766" cm="1">
        <f t="array" ref="N19">SUMPRODUCT( (Begroting!$B$47:$B$63=$E19) * (Begroting!$Q$47:$Q$63) )*'Mijlpaal Berekening'!G57</f>
        <v>0</v>
      </c>
      <c r="O19" s="766" cm="1">
        <f t="array" ref="O19">SUMPRODUCT( (Begroting!$B$47:$B$63=$E19) * (Begroting!$Q$47:$Q$63) )*'Mijlpaal Berekening'!H57</f>
        <v>0</v>
      </c>
      <c r="P19" s="766" cm="1">
        <f t="array" ref="P19">SUMPRODUCT( (Begroting!$B$47:$B$63=$E19) * (Begroting!$Q$47:$Q$63) )*'Mijlpaal Berekening'!I57</f>
        <v>0</v>
      </c>
      <c r="Q19" s="769" cm="1">
        <f t="array" ref="Q19">SUMPRODUCT( (Begroting!$B$47:$B$63=$E19) * (Begroting!$Q$47:$Q$63) )*'Mijlpaal Berekening'!J57</f>
        <v>0</v>
      </c>
    </row>
    <row r="20" spans="1:41" s="766" customFormat="1" hidden="1" outlineLevel="1" x14ac:dyDescent="0.25">
      <c r="A20" s="765"/>
      <c r="E20" s="767">
        <v>8</v>
      </c>
      <c r="J20" s="768" cm="1">
        <f t="array" ref="J20">SUMPRODUCT( (Begroting!$B$47:$B$63=$E20) * (Begroting!$Q$47:$Q$63) )*'Mijlpaal Berekening'!C58</f>
        <v>0</v>
      </c>
      <c r="K20" s="766" cm="1">
        <f t="array" ref="K20">SUMPRODUCT( (Begroting!$B$47:$B$63=$E20) * (Begroting!$Q$47:$Q$63) )*'Mijlpaal Berekening'!D58</f>
        <v>0</v>
      </c>
      <c r="L20" s="766" cm="1">
        <f t="array" ref="L20">SUMPRODUCT( (Begroting!$B$47:$B$63=$E20) * (Begroting!$Q$47:$Q$63) )*'Mijlpaal Berekening'!E58</f>
        <v>0</v>
      </c>
      <c r="M20" s="766" cm="1">
        <f t="array" ref="M20">SUMPRODUCT( (Begroting!$B$47:$B$63=$E20) * (Begroting!$Q$47:$Q$63) )*'Mijlpaal Berekening'!F58</f>
        <v>0</v>
      </c>
      <c r="N20" s="766" cm="1">
        <f t="array" ref="N20">SUMPRODUCT( (Begroting!$B$47:$B$63=$E20) * (Begroting!$Q$47:$Q$63) )*'Mijlpaal Berekening'!G58</f>
        <v>0</v>
      </c>
      <c r="O20" s="766" cm="1">
        <f t="array" ref="O20">SUMPRODUCT( (Begroting!$B$47:$B$63=$E20) * (Begroting!$Q$47:$Q$63) )*'Mijlpaal Berekening'!H58</f>
        <v>0</v>
      </c>
      <c r="P20" s="766" cm="1">
        <f t="array" ref="P20">SUMPRODUCT( (Begroting!$B$47:$B$63=$E20) * (Begroting!$Q$47:$Q$63) )*'Mijlpaal Berekening'!I58</f>
        <v>0</v>
      </c>
      <c r="Q20" s="769" cm="1">
        <f t="array" ref="Q20">SUMPRODUCT( (Begroting!$B$47:$B$63=$E20) * (Begroting!$Q$47:$Q$63) )*'Mijlpaal Berekening'!J58</f>
        <v>0</v>
      </c>
    </row>
    <row r="21" spans="1:41" s="766" customFormat="1" hidden="1" outlineLevel="1" x14ac:dyDescent="0.25">
      <c r="A21" s="765"/>
      <c r="E21" s="767">
        <v>9</v>
      </c>
      <c r="J21" s="768" cm="1">
        <f t="array" ref="J21">SUMPRODUCT( (Begroting!$B$47:$B$63=$E21) * (Begroting!$Q$47:$Q$63) )*'Mijlpaal Berekening'!C59</f>
        <v>0</v>
      </c>
      <c r="K21" s="766" cm="1">
        <f t="array" ref="K21">SUMPRODUCT( (Begroting!$B$47:$B$63=$E21) * (Begroting!$Q$47:$Q$63) )*'Mijlpaal Berekening'!D59</f>
        <v>0</v>
      </c>
      <c r="L21" s="766" cm="1">
        <f t="array" ref="L21">SUMPRODUCT( (Begroting!$B$47:$B$63=$E21) * (Begroting!$Q$47:$Q$63) )*'Mijlpaal Berekening'!E59</f>
        <v>0</v>
      </c>
      <c r="M21" s="766" cm="1">
        <f t="array" ref="M21">SUMPRODUCT( (Begroting!$B$47:$B$63=$E21) * (Begroting!$Q$47:$Q$63) )*'Mijlpaal Berekening'!F59</f>
        <v>0</v>
      </c>
      <c r="N21" s="766" cm="1">
        <f t="array" ref="N21">SUMPRODUCT( (Begroting!$B$47:$B$63=$E21) * (Begroting!$Q$47:$Q$63) )*'Mijlpaal Berekening'!G59</f>
        <v>0</v>
      </c>
      <c r="O21" s="766" cm="1">
        <f t="array" ref="O21">SUMPRODUCT( (Begroting!$B$47:$B$63=$E21) * (Begroting!$Q$47:$Q$63) )*'Mijlpaal Berekening'!H59</f>
        <v>0</v>
      </c>
      <c r="P21" s="766" cm="1">
        <f t="array" ref="P21">SUMPRODUCT( (Begroting!$B$47:$B$63=$E21) * (Begroting!$Q$47:$Q$63) )*'Mijlpaal Berekening'!I59</f>
        <v>0</v>
      </c>
      <c r="Q21" s="769" cm="1">
        <f t="array" ref="Q21">SUMPRODUCT( (Begroting!$B$47:$B$63=$E21) * (Begroting!$Q$47:$Q$63) )*'Mijlpaal Berekening'!J59</f>
        <v>0</v>
      </c>
    </row>
    <row r="22" spans="1:41" s="766" customFormat="1" hidden="1" outlineLevel="1" x14ac:dyDescent="0.25">
      <c r="A22" s="765"/>
      <c r="E22" s="767">
        <v>10</v>
      </c>
      <c r="J22" s="768" cm="1">
        <f t="array" ref="J22">SUMPRODUCT( (Begroting!$B$47:$B$63=$E22) * (Begroting!$Q$47:$Q$63) )*'Mijlpaal Berekening'!C60</f>
        <v>0</v>
      </c>
      <c r="K22" s="766" cm="1">
        <f t="array" ref="K22">SUMPRODUCT( (Begroting!$B$47:$B$63=$E22) * (Begroting!$Q$47:$Q$63) )*'Mijlpaal Berekening'!D60</f>
        <v>0</v>
      </c>
      <c r="L22" s="766" cm="1">
        <f t="array" ref="L22">SUMPRODUCT( (Begroting!$B$47:$B$63=$E22) * (Begroting!$Q$47:$Q$63) )*'Mijlpaal Berekening'!E60</f>
        <v>0</v>
      </c>
      <c r="M22" s="766" cm="1">
        <f t="array" ref="M22">SUMPRODUCT( (Begroting!$B$47:$B$63=$E22) * (Begroting!$Q$47:$Q$63) )*'Mijlpaal Berekening'!F60</f>
        <v>0</v>
      </c>
      <c r="N22" s="766" cm="1">
        <f t="array" ref="N22">SUMPRODUCT( (Begroting!$B$47:$B$63=$E22) * (Begroting!$Q$47:$Q$63) )*'Mijlpaal Berekening'!G60</f>
        <v>0</v>
      </c>
      <c r="O22" s="766" cm="1">
        <f t="array" ref="O22">SUMPRODUCT( (Begroting!$B$47:$B$63=$E22) * (Begroting!$Q$47:$Q$63) )*'Mijlpaal Berekening'!H60</f>
        <v>0</v>
      </c>
      <c r="P22" s="766" cm="1">
        <f t="array" ref="P22">SUMPRODUCT( (Begroting!$B$47:$B$63=$E22) * (Begroting!$Q$47:$Q$63) )*'Mijlpaal Berekening'!I60</f>
        <v>0</v>
      </c>
      <c r="Q22" s="769" cm="1">
        <f t="array" ref="Q22">SUMPRODUCT( (Begroting!$B$47:$B$63=$E22) * (Begroting!$Q$47:$Q$63) )*'Mijlpaal Berekening'!J60</f>
        <v>0</v>
      </c>
    </row>
    <row r="23" spans="1:41" s="766" customFormat="1" hidden="1" outlineLevel="1" x14ac:dyDescent="0.25">
      <c r="A23" s="765"/>
      <c r="E23" s="767">
        <v>11</v>
      </c>
      <c r="J23" s="768" cm="1">
        <f t="array" ref="J23">SUMPRODUCT( (Begroting!$B$47:$B$63=$E23) * (Begroting!$Q$47:$Q$63) )*'Mijlpaal Berekening'!C61</f>
        <v>0</v>
      </c>
      <c r="K23" s="766" cm="1">
        <f t="array" ref="K23">SUMPRODUCT( (Begroting!$B$47:$B$63=$E23) * (Begroting!$Q$47:$Q$63) )*'Mijlpaal Berekening'!D61</f>
        <v>0</v>
      </c>
      <c r="L23" s="766" cm="1">
        <f t="array" ref="L23">SUMPRODUCT( (Begroting!$B$47:$B$63=$E23) * (Begroting!$Q$47:$Q$63) )*'Mijlpaal Berekening'!E61</f>
        <v>0</v>
      </c>
      <c r="M23" s="766" cm="1">
        <f t="array" ref="M23">SUMPRODUCT( (Begroting!$B$47:$B$63=$E23) * (Begroting!$Q$47:$Q$63) )*'Mijlpaal Berekening'!F61</f>
        <v>0</v>
      </c>
      <c r="N23" s="766" cm="1">
        <f t="array" ref="N23">SUMPRODUCT( (Begroting!$B$47:$B$63=$E23) * (Begroting!$Q$47:$Q$63) )*'Mijlpaal Berekening'!G61</f>
        <v>0</v>
      </c>
      <c r="O23" s="766" cm="1">
        <f t="array" ref="O23">SUMPRODUCT( (Begroting!$B$47:$B$63=$E23) * (Begroting!$Q$47:$Q$63) )*'Mijlpaal Berekening'!H61</f>
        <v>0</v>
      </c>
      <c r="P23" s="766" cm="1">
        <f t="array" ref="P23">SUMPRODUCT( (Begroting!$B$47:$B$63=$E23) * (Begroting!$Q$47:$Q$63) )*'Mijlpaal Berekening'!I61</f>
        <v>0</v>
      </c>
      <c r="Q23" s="769" cm="1">
        <f t="array" ref="Q23">SUMPRODUCT( (Begroting!$B$47:$B$63=$E23) * (Begroting!$Q$47:$Q$63) )*'Mijlpaal Berekening'!J61</f>
        <v>0</v>
      </c>
    </row>
    <row r="24" spans="1:41" s="766" customFormat="1" hidden="1" outlineLevel="1" x14ac:dyDescent="0.25">
      <c r="A24" s="765"/>
      <c r="E24" s="767">
        <v>12</v>
      </c>
      <c r="J24" s="768" cm="1">
        <f t="array" ref="J24">SUMPRODUCT( (Begroting!$B$47:$B$63=$E24) * (Begroting!$Q$47:$Q$63) )*'Mijlpaal Berekening'!C62</f>
        <v>0</v>
      </c>
      <c r="K24" s="766" cm="1">
        <f t="array" ref="K24">SUMPRODUCT( (Begroting!$B$47:$B$63=$E24) * (Begroting!$Q$47:$Q$63) )*'Mijlpaal Berekening'!D62</f>
        <v>0</v>
      </c>
      <c r="L24" s="766" cm="1">
        <f t="array" ref="L24">SUMPRODUCT( (Begroting!$B$47:$B$63=$E24) * (Begroting!$Q$47:$Q$63) )*'Mijlpaal Berekening'!E62</f>
        <v>0</v>
      </c>
      <c r="M24" s="766" cm="1">
        <f t="array" ref="M24">SUMPRODUCT( (Begroting!$B$47:$B$63=$E24) * (Begroting!$Q$47:$Q$63) )*'Mijlpaal Berekening'!F62</f>
        <v>0</v>
      </c>
      <c r="N24" s="766" cm="1">
        <f t="array" ref="N24">SUMPRODUCT( (Begroting!$B$47:$B$63=$E24) * (Begroting!$Q$47:$Q$63) )*'Mijlpaal Berekening'!G62</f>
        <v>0</v>
      </c>
      <c r="O24" s="766" cm="1">
        <f t="array" ref="O24">SUMPRODUCT( (Begroting!$B$47:$B$63=$E24) * (Begroting!$Q$47:$Q$63) )*'Mijlpaal Berekening'!H62</f>
        <v>0</v>
      </c>
      <c r="P24" s="766" cm="1">
        <f t="array" ref="P24">SUMPRODUCT( (Begroting!$B$47:$B$63=$E24) * (Begroting!$Q$47:$Q$63) )*'Mijlpaal Berekening'!I62</f>
        <v>0</v>
      </c>
      <c r="Q24" s="769" cm="1">
        <f t="array" ref="Q24">SUMPRODUCT( (Begroting!$B$47:$B$63=$E24) * (Begroting!$Q$47:$Q$63) )*'Mijlpaal Berekening'!J62</f>
        <v>0</v>
      </c>
    </row>
    <row r="25" spans="1:41" s="766" customFormat="1" hidden="1" outlineLevel="1" x14ac:dyDescent="0.25">
      <c r="A25" s="765"/>
      <c r="E25" s="767">
        <v>13</v>
      </c>
      <c r="J25" s="768" cm="1">
        <f t="array" ref="J25">SUMPRODUCT( (Begroting!$B$47:$B$63=$E25) * (Begroting!$Q$47:$Q$63) )*'Mijlpaal Berekening'!C63</f>
        <v>0</v>
      </c>
      <c r="K25" s="766" cm="1">
        <f t="array" ref="K25">SUMPRODUCT( (Begroting!$B$47:$B$63=$E25) * (Begroting!$Q$47:$Q$63) )*'Mijlpaal Berekening'!D63</f>
        <v>0</v>
      </c>
      <c r="L25" s="766" cm="1">
        <f t="array" ref="L25">SUMPRODUCT( (Begroting!$B$47:$B$63=$E25) * (Begroting!$Q$47:$Q$63) )*'Mijlpaal Berekening'!E63</f>
        <v>0</v>
      </c>
      <c r="M25" s="766" cm="1">
        <f t="array" ref="M25">SUMPRODUCT( (Begroting!$B$47:$B$63=$E25) * (Begroting!$Q$47:$Q$63) )*'Mijlpaal Berekening'!F63</f>
        <v>0</v>
      </c>
      <c r="N25" s="766" cm="1">
        <f t="array" ref="N25">SUMPRODUCT( (Begroting!$B$47:$B$63=$E25) * (Begroting!$Q$47:$Q$63) )*'Mijlpaal Berekening'!G63</f>
        <v>0</v>
      </c>
      <c r="O25" s="766" cm="1">
        <f t="array" ref="O25">SUMPRODUCT( (Begroting!$B$47:$B$63=$E25) * (Begroting!$Q$47:$Q$63) )*'Mijlpaal Berekening'!H63</f>
        <v>0</v>
      </c>
      <c r="P25" s="766" cm="1">
        <f t="array" ref="P25">SUMPRODUCT( (Begroting!$B$47:$B$63=$E25) * (Begroting!$Q$47:$Q$63) )*'Mijlpaal Berekening'!I63</f>
        <v>0</v>
      </c>
      <c r="Q25" s="769" cm="1">
        <f t="array" ref="Q25">SUMPRODUCT( (Begroting!$B$47:$B$63=$E25) * (Begroting!$Q$47:$Q$63) )*'Mijlpaal Berekening'!J63</f>
        <v>0</v>
      </c>
    </row>
    <row r="26" spans="1:41" s="766" customFormat="1" hidden="1" outlineLevel="1" x14ac:dyDescent="0.25">
      <c r="A26" s="765"/>
      <c r="E26" s="767">
        <v>14</v>
      </c>
      <c r="J26" s="768" cm="1">
        <f t="array" ref="J26">SUMPRODUCT( (Begroting!$B$47:$B$63=$E26) * (Begroting!$Q$47:$Q$63) )*'Mijlpaal Berekening'!C64</f>
        <v>0</v>
      </c>
      <c r="K26" s="766" cm="1">
        <f t="array" ref="K26">SUMPRODUCT( (Begroting!$B$47:$B$63=$E26) * (Begroting!$Q$47:$Q$63) )*'Mijlpaal Berekening'!D64</f>
        <v>0</v>
      </c>
      <c r="L26" s="766" cm="1">
        <f t="array" ref="L26">SUMPRODUCT( (Begroting!$B$47:$B$63=$E26) * (Begroting!$Q$47:$Q$63) )*'Mijlpaal Berekening'!E64</f>
        <v>0</v>
      </c>
      <c r="M26" s="766" cm="1">
        <f t="array" ref="M26">SUMPRODUCT( (Begroting!$B$47:$B$63=$E26) * (Begroting!$Q$47:$Q$63) )*'Mijlpaal Berekening'!F64</f>
        <v>0</v>
      </c>
      <c r="N26" s="766" cm="1">
        <f t="array" ref="N26">SUMPRODUCT( (Begroting!$B$47:$B$63=$E26) * (Begroting!$Q$47:$Q$63) )*'Mijlpaal Berekening'!G64</f>
        <v>0</v>
      </c>
      <c r="O26" s="766" cm="1">
        <f t="array" ref="O26">SUMPRODUCT( (Begroting!$B$47:$B$63=$E26) * (Begroting!$Q$47:$Q$63) )*'Mijlpaal Berekening'!H64</f>
        <v>0</v>
      </c>
      <c r="P26" s="766" cm="1">
        <f t="array" ref="P26">SUMPRODUCT( (Begroting!$B$47:$B$63=$E26) * (Begroting!$Q$47:$Q$63) )*'Mijlpaal Berekening'!I64</f>
        <v>0</v>
      </c>
      <c r="Q26" s="769" cm="1">
        <f t="array" ref="Q26">SUMPRODUCT( (Begroting!$B$47:$B$63=$E26) * (Begroting!$Q$47:$Q$63) )*'Mijlpaal Berekening'!J64</f>
        <v>0</v>
      </c>
    </row>
    <row r="27" spans="1:41" s="766" customFormat="1" hidden="1" outlineLevel="1" x14ac:dyDescent="0.25">
      <c r="A27" s="765"/>
      <c r="E27" s="767">
        <v>15</v>
      </c>
      <c r="J27" s="768" cm="1">
        <f t="array" ref="J27">SUMPRODUCT( (Begroting!$B$47:$B$63=$E27) * (Begroting!$Q$47:$Q$63) )*'Mijlpaal Berekening'!C65</f>
        <v>0</v>
      </c>
      <c r="K27" s="766" cm="1">
        <f t="array" ref="K27">SUMPRODUCT( (Begroting!$B$47:$B$63=$E27) * (Begroting!$Q$47:$Q$63) )*'Mijlpaal Berekening'!D65</f>
        <v>0</v>
      </c>
      <c r="L27" s="766" cm="1">
        <f t="array" ref="L27">SUMPRODUCT( (Begroting!$B$47:$B$63=$E27) * (Begroting!$Q$47:$Q$63) )*'Mijlpaal Berekening'!E65</f>
        <v>0</v>
      </c>
      <c r="M27" s="766" cm="1">
        <f t="array" ref="M27">SUMPRODUCT( (Begroting!$B$47:$B$63=$E27) * (Begroting!$Q$47:$Q$63) )*'Mijlpaal Berekening'!F65</f>
        <v>0</v>
      </c>
      <c r="N27" s="766" cm="1">
        <f t="array" ref="N27">SUMPRODUCT( (Begroting!$B$47:$B$63=$E27) * (Begroting!$Q$47:$Q$63) )*'Mijlpaal Berekening'!G65</f>
        <v>0</v>
      </c>
      <c r="O27" s="766" cm="1">
        <f t="array" ref="O27">SUMPRODUCT( (Begroting!$B$47:$B$63=$E27) * (Begroting!$Q$47:$Q$63) )*'Mijlpaal Berekening'!H65</f>
        <v>0</v>
      </c>
      <c r="P27" s="766" cm="1">
        <f t="array" ref="P27">SUMPRODUCT( (Begroting!$B$47:$B$63=$E27) * (Begroting!$Q$47:$Q$63) )*'Mijlpaal Berekening'!I65</f>
        <v>0</v>
      </c>
      <c r="Q27" s="769" cm="1">
        <f t="array" ref="Q27">SUMPRODUCT( (Begroting!$B$47:$B$63=$E27) * (Begroting!$Q$47:$Q$63) )*'Mijlpaal Berekening'!J65</f>
        <v>0</v>
      </c>
    </row>
    <row r="28" spans="1:41" s="766" customFormat="1" collapsed="1" x14ac:dyDescent="0.25">
      <c r="A28" s="765"/>
      <c r="E28" s="767" t="s">
        <v>536</v>
      </c>
      <c r="F28" s="766">
        <f>SUM(J28:AN28)</f>
        <v>0</v>
      </c>
      <c r="G28" s="762" t="s">
        <v>534</v>
      </c>
      <c r="J28" s="768">
        <f>SUM(J13:J27)*J$9</f>
        <v>0</v>
      </c>
      <c r="K28" s="766">
        <f t="shared" ref="K28:AN28" si="0">SUM(K13:K27)*K$9</f>
        <v>0</v>
      </c>
      <c r="L28" s="766">
        <f t="shared" si="0"/>
        <v>0</v>
      </c>
      <c r="M28" s="766">
        <f t="shared" si="0"/>
        <v>0</v>
      </c>
      <c r="N28" s="766">
        <f t="shared" si="0"/>
        <v>0</v>
      </c>
      <c r="O28" s="766">
        <f t="shared" si="0"/>
        <v>0</v>
      </c>
      <c r="P28" s="766">
        <f t="shared" si="0"/>
        <v>0</v>
      </c>
      <c r="Q28" s="769">
        <f t="shared" si="0"/>
        <v>0</v>
      </c>
      <c r="R28" s="766">
        <f t="shared" si="0"/>
        <v>0</v>
      </c>
      <c r="S28" s="766">
        <f t="shared" si="0"/>
        <v>0</v>
      </c>
      <c r="T28" s="766">
        <f t="shared" si="0"/>
        <v>0</v>
      </c>
      <c r="U28" s="766">
        <f t="shared" si="0"/>
        <v>0</v>
      </c>
      <c r="V28" s="766">
        <f t="shared" si="0"/>
        <v>0</v>
      </c>
      <c r="W28" s="766">
        <f t="shared" si="0"/>
        <v>0</v>
      </c>
      <c r="X28" s="766">
        <f t="shared" si="0"/>
        <v>0</v>
      </c>
      <c r="Y28" s="766">
        <f t="shared" si="0"/>
        <v>0</v>
      </c>
      <c r="Z28" s="766">
        <f t="shared" si="0"/>
        <v>0</v>
      </c>
      <c r="AA28" s="766">
        <f t="shared" si="0"/>
        <v>0</v>
      </c>
      <c r="AB28" s="766">
        <f t="shared" si="0"/>
        <v>0</v>
      </c>
      <c r="AC28" s="766">
        <f t="shared" si="0"/>
        <v>0</v>
      </c>
      <c r="AD28" s="766">
        <f t="shared" si="0"/>
        <v>0</v>
      </c>
      <c r="AE28" s="766">
        <f t="shared" si="0"/>
        <v>0</v>
      </c>
      <c r="AF28" s="766">
        <f t="shared" si="0"/>
        <v>0</v>
      </c>
      <c r="AG28" s="766">
        <f t="shared" si="0"/>
        <v>0</v>
      </c>
      <c r="AH28" s="766">
        <f t="shared" si="0"/>
        <v>0</v>
      </c>
      <c r="AI28" s="766">
        <f t="shared" si="0"/>
        <v>0</v>
      </c>
      <c r="AJ28" s="766">
        <f t="shared" si="0"/>
        <v>0</v>
      </c>
      <c r="AK28" s="766">
        <f t="shared" si="0"/>
        <v>0</v>
      </c>
      <c r="AL28" s="766">
        <f t="shared" si="0"/>
        <v>0</v>
      </c>
      <c r="AM28" s="766">
        <f t="shared" si="0"/>
        <v>0</v>
      </c>
      <c r="AN28" s="766">
        <f t="shared" si="0"/>
        <v>0</v>
      </c>
    </row>
    <row r="29" spans="1:41" x14ac:dyDescent="0.25">
      <c r="E29" s="770"/>
      <c r="F29" s="770"/>
      <c r="G29" s="770"/>
      <c r="H29" s="770"/>
      <c r="I29" s="770"/>
      <c r="J29" s="771"/>
      <c r="K29" s="770"/>
      <c r="L29" s="770"/>
      <c r="M29" s="770"/>
      <c r="N29" s="770"/>
      <c r="O29" s="770"/>
      <c r="P29" s="770"/>
      <c r="Q29" s="772"/>
      <c r="R29" s="770"/>
      <c r="S29" s="770"/>
      <c r="T29" s="770"/>
      <c r="U29" s="770"/>
      <c r="V29" s="770"/>
      <c r="W29" s="770"/>
      <c r="X29" s="770"/>
      <c r="Y29" s="770"/>
      <c r="Z29" s="770"/>
      <c r="AA29" s="770"/>
      <c r="AB29" s="770"/>
      <c r="AC29" s="770"/>
      <c r="AD29" s="770"/>
      <c r="AE29" s="770"/>
      <c r="AF29" s="770"/>
      <c r="AG29" s="770"/>
      <c r="AH29" s="770"/>
      <c r="AI29" s="770"/>
      <c r="AJ29" s="770"/>
      <c r="AK29" s="770"/>
      <c r="AL29" s="770"/>
      <c r="AM29" s="770"/>
      <c r="AN29" s="770"/>
    </row>
    <row r="30" spans="1:41" s="762" customFormat="1" x14ac:dyDescent="0.25">
      <c r="A30" s="773"/>
      <c r="E30" s="763" t="str">
        <f>Begroting!B89</f>
        <v>Investeringen in secundaire netten</v>
      </c>
      <c r="F30" s="774">
        <f>Begroting!Q110</f>
        <v>0</v>
      </c>
      <c r="G30" s="762" t="s">
        <v>534</v>
      </c>
      <c r="H30" s="770"/>
      <c r="I30" s="770"/>
      <c r="J30" s="771"/>
      <c r="K30" s="770"/>
      <c r="L30" s="770"/>
      <c r="M30" s="770"/>
      <c r="N30" s="770"/>
      <c r="O30" s="770"/>
      <c r="P30" s="770"/>
      <c r="Q30" s="772"/>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31"/>
    </row>
    <row r="31" spans="1:41" x14ac:dyDescent="0.25">
      <c r="B31" s="775"/>
      <c r="E31" s="763" t="s">
        <v>535</v>
      </c>
      <c r="F31" s="764">
        <v>30</v>
      </c>
      <c r="G31" s="757" t="s">
        <v>503</v>
      </c>
      <c r="J31" s="776"/>
      <c r="K31" s="764"/>
      <c r="L31" s="764"/>
      <c r="M31" s="764"/>
      <c r="N31" s="764"/>
      <c r="O31" s="764"/>
      <c r="P31" s="764"/>
      <c r="Q31" s="777"/>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row>
    <row r="32" spans="1:41" hidden="1" outlineLevel="1" x14ac:dyDescent="0.25">
      <c r="B32" s="775"/>
      <c r="E32" s="767">
        <v>1</v>
      </c>
      <c r="F32" s="764"/>
      <c r="G32" s="757"/>
      <c r="J32" s="768" cm="1">
        <f t="array" ref="J32">SUMPRODUCT( (Begroting!$B$92:$B$108=$E32) * (Begroting!$Q$92:$Q$108) )*'Mijlpaal Berekening'!C51</f>
        <v>0</v>
      </c>
      <c r="K32" s="766" cm="1">
        <f t="array" ref="K32">SUMPRODUCT( (Begroting!$B$92:$B$108=$E32) * (Begroting!$Q$92:$Q$108) )*'Mijlpaal Berekening'!D51</f>
        <v>0</v>
      </c>
      <c r="L32" s="766" cm="1">
        <f t="array" ref="L32">SUMPRODUCT( (Begroting!$B$92:$B$108=$E32) * (Begroting!$Q$92:$Q$108) )*'Mijlpaal Berekening'!E51</f>
        <v>0</v>
      </c>
      <c r="M32" s="766" cm="1">
        <f t="array" ref="M32">SUMPRODUCT( (Begroting!$B$92:$B$108=$E32) * (Begroting!$Q$92:$Q$108) )*'Mijlpaal Berekening'!F51</f>
        <v>0</v>
      </c>
      <c r="N32" s="766" cm="1">
        <f t="array" ref="N32">SUMPRODUCT( (Begroting!$B$92:$B$108=$E32) * (Begroting!$Q$92:$Q$108) )*'Mijlpaal Berekening'!G51</f>
        <v>0</v>
      </c>
      <c r="O32" s="766" cm="1">
        <f t="array" ref="O32">SUMPRODUCT( (Begroting!$B$92:$B$108=$E32) * (Begroting!$Q$92:$Q$108) )*'Mijlpaal Berekening'!H51</f>
        <v>0</v>
      </c>
      <c r="P32" s="766" cm="1">
        <f t="array" ref="P32">SUMPRODUCT( (Begroting!$B$92:$B$108=$E32) * (Begroting!$Q$92:$Q$108) )*'Mijlpaal Berekening'!I51</f>
        <v>0</v>
      </c>
      <c r="Q32" s="769" cm="1">
        <f t="array" ref="Q32">SUMPRODUCT( (Begroting!$B$92:$B$108=$E32) * (Begroting!$Q$92:$Q$108) )*'Mijlpaal Berekening'!J51</f>
        <v>0</v>
      </c>
      <c r="R32" s="766"/>
      <c r="S32" s="766"/>
      <c r="T32" s="764"/>
      <c r="U32" s="764"/>
      <c r="V32" s="764"/>
      <c r="W32" s="764"/>
      <c r="X32" s="764"/>
      <c r="Y32" s="764"/>
      <c r="Z32" s="764"/>
      <c r="AA32" s="764"/>
      <c r="AB32" s="764"/>
      <c r="AC32" s="764"/>
      <c r="AD32" s="764"/>
      <c r="AE32" s="764"/>
      <c r="AF32" s="764"/>
      <c r="AG32" s="764"/>
      <c r="AH32" s="764"/>
      <c r="AI32" s="764"/>
      <c r="AJ32" s="764"/>
      <c r="AK32" s="764"/>
      <c r="AL32" s="764"/>
      <c r="AM32" s="764"/>
      <c r="AN32" s="764"/>
    </row>
    <row r="33" spans="1:41" hidden="1" outlineLevel="1" x14ac:dyDescent="0.25">
      <c r="B33" s="775"/>
      <c r="E33" s="767">
        <v>2</v>
      </c>
      <c r="F33" s="764"/>
      <c r="G33" s="757"/>
      <c r="J33" s="768" cm="1">
        <f t="array" ref="J33">SUMPRODUCT( (Begroting!$B$92:$B$108=$E33) * (Begroting!$Q$92:$Q$108) )*'Mijlpaal Berekening'!C52</f>
        <v>0</v>
      </c>
      <c r="K33" s="766" cm="1">
        <f t="array" ref="K33">SUMPRODUCT( (Begroting!$B$92:$B$108=$E33) * (Begroting!$Q$92:$Q$108) )*'Mijlpaal Berekening'!D52</f>
        <v>0</v>
      </c>
      <c r="L33" s="766" cm="1">
        <f t="array" ref="L33">SUMPRODUCT( (Begroting!$B$92:$B$108=$E33) * (Begroting!$Q$92:$Q$108) )*'Mijlpaal Berekening'!E52</f>
        <v>0</v>
      </c>
      <c r="M33" s="766" cm="1">
        <f t="array" ref="M33">SUMPRODUCT( (Begroting!$B$92:$B$108=$E33) * (Begroting!$Q$92:$Q$108) )*'Mijlpaal Berekening'!F52</f>
        <v>0</v>
      </c>
      <c r="N33" s="766" cm="1">
        <f t="array" ref="N33">SUMPRODUCT( (Begroting!$B$92:$B$108=$E33) * (Begroting!$Q$92:$Q$108) )*'Mijlpaal Berekening'!G52</f>
        <v>0</v>
      </c>
      <c r="O33" s="766" cm="1">
        <f t="array" ref="O33">SUMPRODUCT( (Begroting!$B$92:$B$108=$E33) * (Begroting!$Q$92:$Q$108) )*'Mijlpaal Berekening'!H52</f>
        <v>0</v>
      </c>
      <c r="P33" s="766" cm="1">
        <f t="array" ref="P33">SUMPRODUCT( (Begroting!$B$92:$B$108=$E33) * (Begroting!$Q$92:$Q$108) )*'Mijlpaal Berekening'!I52</f>
        <v>0</v>
      </c>
      <c r="Q33" s="769" cm="1">
        <f t="array" ref="Q33">SUMPRODUCT( (Begroting!$B$92:$B$108=$E33) * (Begroting!$Q$92:$Q$108) )*'Mijlpaal Berekening'!J52</f>
        <v>0</v>
      </c>
      <c r="R33" s="766"/>
      <c r="S33" s="766"/>
      <c r="T33" s="764"/>
      <c r="U33" s="764"/>
      <c r="V33" s="764"/>
      <c r="W33" s="764"/>
      <c r="X33" s="764"/>
      <c r="Y33" s="764"/>
      <c r="Z33" s="764"/>
      <c r="AA33" s="764"/>
      <c r="AB33" s="764"/>
      <c r="AC33" s="764"/>
      <c r="AD33" s="764"/>
      <c r="AE33" s="764"/>
      <c r="AF33" s="764"/>
      <c r="AG33" s="764"/>
      <c r="AH33" s="764"/>
      <c r="AI33" s="764"/>
      <c r="AJ33" s="764"/>
      <c r="AK33" s="764"/>
      <c r="AL33" s="764"/>
      <c r="AM33" s="764"/>
      <c r="AN33" s="764"/>
    </row>
    <row r="34" spans="1:41" hidden="1" outlineLevel="1" x14ac:dyDescent="0.25">
      <c r="B34" s="775"/>
      <c r="E34" s="767">
        <v>3</v>
      </c>
      <c r="F34" s="764"/>
      <c r="G34" s="757"/>
      <c r="J34" s="768" cm="1">
        <f t="array" ref="J34">SUMPRODUCT( (Begroting!$B$92:$B$108=$E34) * (Begroting!$Q$92:$Q$108) )*'Mijlpaal Berekening'!C53</f>
        <v>0</v>
      </c>
      <c r="K34" s="766" cm="1">
        <f t="array" ref="K34">SUMPRODUCT( (Begroting!$B$92:$B$108=$E34) * (Begroting!$Q$92:$Q$108) )*'Mijlpaal Berekening'!D53</f>
        <v>0</v>
      </c>
      <c r="L34" s="766" cm="1">
        <f t="array" ref="L34">SUMPRODUCT( (Begroting!$B$92:$B$108=$E34) * (Begroting!$Q$92:$Q$108) )*'Mijlpaal Berekening'!E53</f>
        <v>0</v>
      </c>
      <c r="M34" s="766" cm="1">
        <f t="array" ref="M34">SUMPRODUCT( (Begroting!$B$92:$B$108=$E34) * (Begroting!$Q$92:$Q$108) )*'Mijlpaal Berekening'!F53</f>
        <v>0</v>
      </c>
      <c r="N34" s="766" cm="1">
        <f t="array" ref="N34">SUMPRODUCT( (Begroting!$B$92:$B$108=$E34) * (Begroting!$Q$92:$Q$108) )*'Mijlpaal Berekening'!G53</f>
        <v>0</v>
      </c>
      <c r="O34" s="766" cm="1">
        <f t="array" ref="O34">SUMPRODUCT( (Begroting!$B$92:$B$108=$E34) * (Begroting!$Q$92:$Q$108) )*'Mijlpaal Berekening'!H53</f>
        <v>0</v>
      </c>
      <c r="P34" s="766" cm="1">
        <f t="array" ref="P34">SUMPRODUCT( (Begroting!$B$92:$B$108=$E34) * (Begroting!$Q$92:$Q$108) )*'Mijlpaal Berekening'!I53</f>
        <v>0</v>
      </c>
      <c r="Q34" s="769" cm="1">
        <f t="array" ref="Q34">SUMPRODUCT( (Begroting!$B$92:$B$108=$E34) * (Begroting!$Q$92:$Q$108) )*'Mijlpaal Berekening'!J53</f>
        <v>0</v>
      </c>
      <c r="R34" s="766"/>
      <c r="S34" s="766"/>
      <c r="T34" s="764"/>
      <c r="U34" s="764"/>
      <c r="V34" s="764"/>
      <c r="W34" s="764"/>
      <c r="X34" s="764"/>
      <c r="Y34" s="764"/>
      <c r="Z34" s="764"/>
      <c r="AA34" s="764"/>
      <c r="AB34" s="764"/>
      <c r="AC34" s="764"/>
      <c r="AD34" s="764"/>
      <c r="AE34" s="764"/>
      <c r="AF34" s="764"/>
      <c r="AG34" s="764"/>
      <c r="AH34" s="764"/>
      <c r="AI34" s="764"/>
      <c r="AJ34" s="764"/>
      <c r="AK34" s="764"/>
      <c r="AL34" s="764"/>
      <c r="AM34" s="764"/>
      <c r="AN34" s="764"/>
    </row>
    <row r="35" spans="1:41" hidden="1" outlineLevel="1" x14ac:dyDescent="0.25">
      <c r="B35" s="775"/>
      <c r="E35" s="767">
        <v>4</v>
      </c>
      <c r="F35" s="764"/>
      <c r="G35" s="757"/>
      <c r="J35" s="768" cm="1">
        <f t="array" ref="J35">SUMPRODUCT( (Begroting!$B$92:$B$108=$E35) * (Begroting!$Q$92:$Q$108) )*'Mijlpaal Berekening'!C54</f>
        <v>0</v>
      </c>
      <c r="K35" s="766" cm="1">
        <f t="array" ref="K35">SUMPRODUCT( (Begroting!$B$92:$B$108=$E35) * (Begroting!$Q$92:$Q$108) )*'Mijlpaal Berekening'!D54</f>
        <v>0</v>
      </c>
      <c r="L35" s="766" cm="1">
        <f t="array" ref="L35">SUMPRODUCT( (Begroting!$B$92:$B$108=$E35) * (Begroting!$Q$92:$Q$108) )*'Mijlpaal Berekening'!E54</f>
        <v>0</v>
      </c>
      <c r="M35" s="766" cm="1">
        <f t="array" ref="M35">SUMPRODUCT( (Begroting!$B$92:$B$108=$E35) * (Begroting!$Q$92:$Q$108) )*'Mijlpaal Berekening'!F54</f>
        <v>0</v>
      </c>
      <c r="N35" s="766" cm="1">
        <f t="array" ref="N35">SUMPRODUCT( (Begroting!$B$92:$B$108=$E35) * (Begroting!$Q$92:$Q$108) )*'Mijlpaal Berekening'!G54</f>
        <v>0</v>
      </c>
      <c r="O35" s="766" cm="1">
        <f t="array" ref="O35">SUMPRODUCT( (Begroting!$B$92:$B$108=$E35) * (Begroting!$Q$92:$Q$108) )*'Mijlpaal Berekening'!H54</f>
        <v>0</v>
      </c>
      <c r="P35" s="766" cm="1">
        <f t="array" ref="P35">SUMPRODUCT( (Begroting!$B$92:$B$108=$E35) * (Begroting!$Q$92:$Q$108) )*'Mijlpaal Berekening'!I54</f>
        <v>0</v>
      </c>
      <c r="Q35" s="769" cm="1">
        <f t="array" ref="Q35">SUMPRODUCT( (Begroting!$B$92:$B$108=$E35) * (Begroting!$Q$92:$Q$108) )*'Mijlpaal Berekening'!J54</f>
        <v>0</v>
      </c>
      <c r="R35" s="766"/>
      <c r="S35" s="766"/>
      <c r="T35" s="764"/>
      <c r="U35" s="764"/>
      <c r="V35" s="764"/>
      <c r="W35" s="764"/>
      <c r="X35" s="764"/>
      <c r="Y35" s="764"/>
      <c r="Z35" s="764"/>
      <c r="AA35" s="764"/>
      <c r="AB35" s="764"/>
      <c r="AC35" s="764"/>
      <c r="AD35" s="764"/>
      <c r="AE35" s="764"/>
      <c r="AF35" s="764"/>
      <c r="AG35" s="764"/>
      <c r="AH35" s="764"/>
      <c r="AI35" s="764"/>
      <c r="AJ35" s="764"/>
      <c r="AK35" s="764"/>
      <c r="AL35" s="764"/>
      <c r="AM35" s="764"/>
      <c r="AN35" s="764"/>
    </row>
    <row r="36" spans="1:41" hidden="1" outlineLevel="1" x14ac:dyDescent="0.25">
      <c r="B36" s="775"/>
      <c r="E36" s="767">
        <v>5</v>
      </c>
      <c r="F36" s="764"/>
      <c r="G36" s="757"/>
      <c r="J36" s="768" cm="1">
        <f t="array" ref="J36">SUMPRODUCT( (Begroting!$B$92:$B$108=$E36) * (Begroting!$Q$92:$Q$108) )*'Mijlpaal Berekening'!C55</f>
        <v>0</v>
      </c>
      <c r="K36" s="766" cm="1">
        <f t="array" ref="K36">SUMPRODUCT( (Begroting!$B$92:$B$108=$E36) * (Begroting!$Q$92:$Q$108) )*'Mijlpaal Berekening'!D55</f>
        <v>0</v>
      </c>
      <c r="L36" s="766" cm="1">
        <f t="array" ref="L36">SUMPRODUCT( (Begroting!$B$92:$B$108=$E36) * (Begroting!$Q$92:$Q$108) )*'Mijlpaal Berekening'!E55</f>
        <v>0</v>
      </c>
      <c r="M36" s="766" cm="1">
        <f t="array" ref="M36">SUMPRODUCT( (Begroting!$B$92:$B$108=$E36) * (Begroting!$Q$92:$Q$108) )*'Mijlpaal Berekening'!F55</f>
        <v>0</v>
      </c>
      <c r="N36" s="766" cm="1">
        <f t="array" ref="N36">SUMPRODUCT( (Begroting!$B$92:$B$108=$E36) * (Begroting!$Q$92:$Q$108) )*'Mijlpaal Berekening'!G55</f>
        <v>0</v>
      </c>
      <c r="O36" s="766" cm="1">
        <f t="array" ref="O36">SUMPRODUCT( (Begroting!$B$92:$B$108=$E36) * (Begroting!$Q$92:$Q$108) )*'Mijlpaal Berekening'!H55</f>
        <v>0</v>
      </c>
      <c r="P36" s="766" cm="1">
        <f t="array" ref="P36">SUMPRODUCT( (Begroting!$B$92:$B$108=$E36) * (Begroting!$Q$92:$Q$108) )*'Mijlpaal Berekening'!I55</f>
        <v>0</v>
      </c>
      <c r="Q36" s="769" cm="1">
        <f t="array" ref="Q36">SUMPRODUCT( (Begroting!$B$92:$B$108=$E36) * (Begroting!$Q$92:$Q$108) )*'Mijlpaal Berekening'!J55</f>
        <v>0</v>
      </c>
      <c r="R36" s="766"/>
      <c r="S36" s="766"/>
      <c r="T36" s="764"/>
      <c r="U36" s="764"/>
      <c r="V36" s="764"/>
      <c r="W36" s="764"/>
      <c r="X36" s="764"/>
      <c r="Y36" s="764"/>
      <c r="Z36" s="764"/>
      <c r="AA36" s="764"/>
      <c r="AB36" s="764"/>
      <c r="AC36" s="764"/>
      <c r="AD36" s="764"/>
      <c r="AE36" s="764"/>
      <c r="AF36" s="764"/>
      <c r="AG36" s="764"/>
      <c r="AH36" s="764"/>
      <c r="AI36" s="764"/>
      <c r="AJ36" s="764"/>
      <c r="AK36" s="764"/>
      <c r="AL36" s="764"/>
      <c r="AM36" s="764"/>
      <c r="AN36" s="764"/>
    </row>
    <row r="37" spans="1:41" hidden="1" outlineLevel="1" x14ac:dyDescent="0.25">
      <c r="B37" s="775"/>
      <c r="E37" s="767">
        <v>6</v>
      </c>
      <c r="F37" s="764"/>
      <c r="G37" s="757"/>
      <c r="J37" s="768" cm="1">
        <f t="array" ref="J37">SUMPRODUCT( (Begroting!$B$92:$B$108=$E37) * (Begroting!$Q$92:$Q$108) )*'Mijlpaal Berekening'!C56</f>
        <v>0</v>
      </c>
      <c r="K37" s="766" cm="1">
        <f t="array" ref="K37">SUMPRODUCT( (Begroting!$B$92:$B$108=$E37) * (Begroting!$Q$92:$Q$108) )*'Mijlpaal Berekening'!D56</f>
        <v>0</v>
      </c>
      <c r="L37" s="766" cm="1">
        <f t="array" ref="L37">SUMPRODUCT( (Begroting!$B$92:$B$108=$E37) * (Begroting!$Q$92:$Q$108) )*'Mijlpaal Berekening'!E56</f>
        <v>0</v>
      </c>
      <c r="M37" s="766" cm="1">
        <f t="array" ref="M37">SUMPRODUCT( (Begroting!$B$92:$B$108=$E37) * (Begroting!$Q$92:$Q$108) )*'Mijlpaal Berekening'!F56</f>
        <v>0</v>
      </c>
      <c r="N37" s="766" cm="1">
        <f t="array" ref="N37">SUMPRODUCT( (Begroting!$B$92:$B$108=$E37) * (Begroting!$Q$92:$Q$108) )*'Mijlpaal Berekening'!G56</f>
        <v>0</v>
      </c>
      <c r="O37" s="766" cm="1">
        <f t="array" ref="O37">SUMPRODUCT( (Begroting!$B$92:$B$108=$E37) * (Begroting!$Q$92:$Q$108) )*'Mijlpaal Berekening'!H56</f>
        <v>0</v>
      </c>
      <c r="P37" s="766" cm="1">
        <f t="array" ref="P37">SUMPRODUCT( (Begroting!$B$92:$B$108=$E37) * (Begroting!$Q$92:$Q$108) )*'Mijlpaal Berekening'!I56</f>
        <v>0</v>
      </c>
      <c r="Q37" s="769" cm="1">
        <f t="array" ref="Q37">SUMPRODUCT( (Begroting!$B$92:$B$108=$E37) * (Begroting!$Q$92:$Q$108) )*'Mijlpaal Berekening'!J56</f>
        <v>0</v>
      </c>
      <c r="R37" s="766"/>
      <c r="S37" s="766"/>
      <c r="T37" s="764"/>
      <c r="U37" s="764"/>
      <c r="V37" s="764"/>
      <c r="W37" s="764"/>
      <c r="X37" s="764"/>
      <c r="Y37" s="764"/>
      <c r="Z37" s="764"/>
      <c r="AA37" s="764"/>
      <c r="AB37" s="764"/>
      <c r="AC37" s="764"/>
      <c r="AD37" s="764"/>
      <c r="AE37" s="764"/>
      <c r="AF37" s="764"/>
      <c r="AG37" s="764"/>
      <c r="AH37" s="764"/>
      <c r="AI37" s="764"/>
      <c r="AJ37" s="764"/>
      <c r="AK37" s="764"/>
      <c r="AL37" s="764"/>
      <c r="AM37" s="764"/>
      <c r="AN37" s="764"/>
    </row>
    <row r="38" spans="1:41" hidden="1" outlineLevel="1" x14ac:dyDescent="0.25">
      <c r="B38" s="775"/>
      <c r="E38" s="767">
        <v>7</v>
      </c>
      <c r="F38" s="764"/>
      <c r="G38" s="757"/>
      <c r="J38" s="768" cm="1">
        <f t="array" ref="J38">SUMPRODUCT( (Begroting!$B$92:$B$108=$E38) * (Begroting!$Q$92:$Q$108) )*'Mijlpaal Berekening'!C57</f>
        <v>0</v>
      </c>
      <c r="K38" s="766" cm="1">
        <f t="array" ref="K38">SUMPRODUCT( (Begroting!$B$92:$B$108=$E38) * (Begroting!$Q$92:$Q$108) )*'Mijlpaal Berekening'!D57</f>
        <v>0</v>
      </c>
      <c r="L38" s="766" cm="1">
        <f t="array" ref="L38">SUMPRODUCT( (Begroting!$B$92:$B$108=$E38) * (Begroting!$Q$92:$Q$108) )*'Mijlpaal Berekening'!E57</f>
        <v>0</v>
      </c>
      <c r="M38" s="766" cm="1">
        <f t="array" ref="M38">SUMPRODUCT( (Begroting!$B$92:$B$108=$E38) * (Begroting!$Q$92:$Q$108) )*'Mijlpaal Berekening'!F57</f>
        <v>0</v>
      </c>
      <c r="N38" s="766" cm="1">
        <f t="array" ref="N38">SUMPRODUCT( (Begroting!$B$92:$B$108=$E38) * (Begroting!$Q$92:$Q$108) )*'Mijlpaal Berekening'!G57</f>
        <v>0</v>
      </c>
      <c r="O38" s="766" cm="1">
        <f t="array" ref="O38">SUMPRODUCT( (Begroting!$B$92:$B$108=$E38) * (Begroting!$Q$92:$Q$108) )*'Mijlpaal Berekening'!H57</f>
        <v>0</v>
      </c>
      <c r="P38" s="766" cm="1">
        <f t="array" ref="P38">SUMPRODUCT( (Begroting!$B$92:$B$108=$E38) * (Begroting!$Q$92:$Q$108) )*'Mijlpaal Berekening'!I57</f>
        <v>0</v>
      </c>
      <c r="Q38" s="769" cm="1">
        <f t="array" ref="Q38">SUMPRODUCT( (Begroting!$B$92:$B$108=$E38) * (Begroting!$Q$92:$Q$108) )*'Mijlpaal Berekening'!J57</f>
        <v>0</v>
      </c>
      <c r="R38" s="766"/>
      <c r="S38" s="766"/>
      <c r="T38" s="764"/>
      <c r="U38" s="764"/>
      <c r="V38" s="764"/>
      <c r="W38" s="764"/>
      <c r="X38" s="764"/>
      <c r="Y38" s="764"/>
      <c r="Z38" s="764"/>
      <c r="AA38" s="764"/>
      <c r="AB38" s="764"/>
      <c r="AC38" s="764"/>
      <c r="AD38" s="764"/>
      <c r="AE38" s="764"/>
      <c r="AF38" s="764"/>
      <c r="AG38" s="764"/>
      <c r="AH38" s="764"/>
      <c r="AI38" s="764"/>
      <c r="AJ38" s="764"/>
      <c r="AK38" s="764"/>
      <c r="AL38" s="764"/>
      <c r="AM38" s="764"/>
      <c r="AN38" s="764"/>
    </row>
    <row r="39" spans="1:41" hidden="1" outlineLevel="1" x14ac:dyDescent="0.25">
      <c r="B39" s="775"/>
      <c r="E39" s="767">
        <v>8</v>
      </c>
      <c r="F39" s="764"/>
      <c r="G39" s="757"/>
      <c r="J39" s="768" cm="1">
        <f t="array" ref="J39">SUMPRODUCT( (Begroting!$B$92:$B$108=$E39) * (Begroting!$Q$92:$Q$108) )*'Mijlpaal Berekening'!C58</f>
        <v>0</v>
      </c>
      <c r="K39" s="766" cm="1">
        <f t="array" ref="K39">SUMPRODUCT( (Begroting!$B$92:$B$108=$E39) * (Begroting!$Q$92:$Q$108) )*'Mijlpaal Berekening'!D58</f>
        <v>0</v>
      </c>
      <c r="L39" s="766" cm="1">
        <f t="array" ref="L39">SUMPRODUCT( (Begroting!$B$92:$B$108=$E39) * (Begroting!$Q$92:$Q$108) )*'Mijlpaal Berekening'!E58</f>
        <v>0</v>
      </c>
      <c r="M39" s="766" cm="1">
        <f t="array" ref="M39">SUMPRODUCT( (Begroting!$B$92:$B$108=$E39) * (Begroting!$Q$92:$Q$108) )*'Mijlpaal Berekening'!F58</f>
        <v>0</v>
      </c>
      <c r="N39" s="766" cm="1">
        <f t="array" ref="N39">SUMPRODUCT( (Begroting!$B$92:$B$108=$E39) * (Begroting!$Q$92:$Q$108) )*'Mijlpaal Berekening'!G58</f>
        <v>0</v>
      </c>
      <c r="O39" s="766" cm="1">
        <f t="array" ref="O39">SUMPRODUCT( (Begroting!$B$92:$B$108=$E39) * (Begroting!$Q$92:$Q$108) )*'Mijlpaal Berekening'!H58</f>
        <v>0</v>
      </c>
      <c r="P39" s="766" cm="1">
        <f t="array" ref="P39">SUMPRODUCT( (Begroting!$B$92:$B$108=$E39) * (Begroting!$Q$92:$Q$108) )*'Mijlpaal Berekening'!I58</f>
        <v>0</v>
      </c>
      <c r="Q39" s="769" cm="1">
        <f t="array" ref="Q39">SUMPRODUCT( (Begroting!$B$92:$B$108=$E39) * (Begroting!$Q$92:$Q$108) )*'Mijlpaal Berekening'!J58</f>
        <v>0</v>
      </c>
      <c r="R39" s="766"/>
      <c r="S39" s="766"/>
      <c r="T39" s="764"/>
      <c r="U39" s="764"/>
      <c r="V39" s="764"/>
      <c r="W39" s="764"/>
      <c r="X39" s="764"/>
      <c r="Y39" s="764"/>
      <c r="Z39" s="764"/>
      <c r="AA39" s="764"/>
      <c r="AB39" s="764"/>
      <c r="AC39" s="764"/>
      <c r="AD39" s="764"/>
      <c r="AE39" s="764"/>
      <c r="AF39" s="764"/>
      <c r="AG39" s="764"/>
      <c r="AH39" s="764"/>
      <c r="AI39" s="764"/>
      <c r="AJ39" s="764"/>
      <c r="AK39" s="764"/>
      <c r="AL39" s="764"/>
      <c r="AM39" s="764"/>
      <c r="AN39" s="764"/>
    </row>
    <row r="40" spans="1:41" hidden="1" outlineLevel="1" x14ac:dyDescent="0.25">
      <c r="B40" s="775"/>
      <c r="E40" s="767">
        <v>9</v>
      </c>
      <c r="F40" s="764"/>
      <c r="G40" s="757"/>
      <c r="J40" s="768" cm="1">
        <f t="array" ref="J40">SUMPRODUCT( (Begroting!$B$92:$B$108=$E40) * (Begroting!$Q$92:$Q$108) )*'Mijlpaal Berekening'!C59</f>
        <v>0</v>
      </c>
      <c r="K40" s="766" cm="1">
        <f t="array" ref="K40">SUMPRODUCT( (Begroting!$B$92:$B$108=$E40) * (Begroting!$Q$92:$Q$108) )*'Mijlpaal Berekening'!D59</f>
        <v>0</v>
      </c>
      <c r="L40" s="766" cm="1">
        <f t="array" ref="L40">SUMPRODUCT( (Begroting!$B$92:$B$108=$E40) * (Begroting!$Q$92:$Q$108) )*'Mijlpaal Berekening'!E59</f>
        <v>0</v>
      </c>
      <c r="M40" s="766" cm="1">
        <f t="array" ref="M40">SUMPRODUCT( (Begroting!$B$92:$B$108=$E40) * (Begroting!$Q$92:$Q$108) )*'Mijlpaal Berekening'!F59</f>
        <v>0</v>
      </c>
      <c r="N40" s="766" cm="1">
        <f t="array" ref="N40">SUMPRODUCT( (Begroting!$B$92:$B$108=$E40) * (Begroting!$Q$92:$Q$108) )*'Mijlpaal Berekening'!G59</f>
        <v>0</v>
      </c>
      <c r="O40" s="766" cm="1">
        <f t="array" ref="O40">SUMPRODUCT( (Begroting!$B$92:$B$108=$E40) * (Begroting!$Q$92:$Q$108) )*'Mijlpaal Berekening'!H59</f>
        <v>0</v>
      </c>
      <c r="P40" s="766" cm="1">
        <f t="array" ref="P40">SUMPRODUCT( (Begroting!$B$92:$B$108=$E40) * (Begroting!$Q$92:$Q$108) )*'Mijlpaal Berekening'!I59</f>
        <v>0</v>
      </c>
      <c r="Q40" s="769" cm="1">
        <f t="array" ref="Q40">SUMPRODUCT( (Begroting!$B$92:$B$108=$E40) * (Begroting!$Q$92:$Q$108) )*'Mijlpaal Berekening'!J59</f>
        <v>0</v>
      </c>
      <c r="R40" s="766"/>
      <c r="S40" s="766"/>
      <c r="T40" s="764"/>
      <c r="U40" s="764"/>
      <c r="V40" s="764"/>
      <c r="W40" s="764"/>
      <c r="X40" s="764"/>
      <c r="Y40" s="764"/>
      <c r="Z40" s="764"/>
      <c r="AA40" s="764"/>
      <c r="AB40" s="764"/>
      <c r="AC40" s="764"/>
      <c r="AD40" s="764"/>
      <c r="AE40" s="764"/>
      <c r="AF40" s="764"/>
      <c r="AG40" s="764"/>
      <c r="AH40" s="764"/>
      <c r="AI40" s="764"/>
      <c r="AJ40" s="764"/>
      <c r="AK40" s="764"/>
      <c r="AL40" s="764"/>
      <c r="AM40" s="764"/>
      <c r="AN40" s="764"/>
    </row>
    <row r="41" spans="1:41" hidden="1" outlineLevel="1" x14ac:dyDescent="0.25">
      <c r="B41" s="775"/>
      <c r="E41" s="767">
        <v>10</v>
      </c>
      <c r="F41" s="764"/>
      <c r="G41" s="757"/>
      <c r="J41" s="768" cm="1">
        <f t="array" ref="J41">SUMPRODUCT( (Begroting!$B$92:$B$108=$E41) * (Begroting!$Q$92:$Q$108) )*'Mijlpaal Berekening'!C60</f>
        <v>0</v>
      </c>
      <c r="K41" s="766" cm="1">
        <f t="array" ref="K41">SUMPRODUCT( (Begroting!$B$92:$B$108=$E41) * (Begroting!$Q$92:$Q$108) )*'Mijlpaal Berekening'!D60</f>
        <v>0</v>
      </c>
      <c r="L41" s="766" cm="1">
        <f t="array" ref="L41">SUMPRODUCT( (Begroting!$B$92:$B$108=$E41) * (Begroting!$Q$92:$Q$108) )*'Mijlpaal Berekening'!E60</f>
        <v>0</v>
      </c>
      <c r="M41" s="766" cm="1">
        <f t="array" ref="M41">SUMPRODUCT( (Begroting!$B$92:$B$108=$E41) * (Begroting!$Q$92:$Q$108) )*'Mijlpaal Berekening'!F60</f>
        <v>0</v>
      </c>
      <c r="N41" s="766" cm="1">
        <f t="array" ref="N41">SUMPRODUCT( (Begroting!$B$92:$B$108=$E41) * (Begroting!$Q$92:$Q$108) )*'Mijlpaal Berekening'!G60</f>
        <v>0</v>
      </c>
      <c r="O41" s="766" cm="1">
        <f t="array" ref="O41">SUMPRODUCT( (Begroting!$B$92:$B$108=$E41) * (Begroting!$Q$92:$Q$108) )*'Mijlpaal Berekening'!H60</f>
        <v>0</v>
      </c>
      <c r="P41" s="766" cm="1">
        <f t="array" ref="P41">SUMPRODUCT( (Begroting!$B$92:$B$108=$E41) * (Begroting!$Q$92:$Q$108) )*'Mijlpaal Berekening'!I60</f>
        <v>0</v>
      </c>
      <c r="Q41" s="769" cm="1">
        <f t="array" ref="Q41">SUMPRODUCT( (Begroting!$B$92:$B$108=$E41) * (Begroting!$Q$92:$Q$108) )*'Mijlpaal Berekening'!J60</f>
        <v>0</v>
      </c>
      <c r="R41" s="766"/>
      <c r="S41" s="766"/>
      <c r="T41" s="764"/>
      <c r="U41" s="764"/>
      <c r="V41" s="764"/>
      <c r="W41" s="764"/>
      <c r="X41" s="764"/>
      <c r="Y41" s="764"/>
      <c r="Z41" s="764"/>
      <c r="AA41" s="764"/>
      <c r="AB41" s="764"/>
      <c r="AC41" s="764"/>
      <c r="AD41" s="764"/>
      <c r="AE41" s="764"/>
      <c r="AF41" s="764"/>
      <c r="AG41" s="764"/>
      <c r="AH41" s="764"/>
      <c r="AI41" s="764"/>
      <c r="AJ41" s="764"/>
      <c r="AK41" s="764"/>
      <c r="AL41" s="764"/>
      <c r="AM41" s="764"/>
      <c r="AN41" s="764"/>
    </row>
    <row r="42" spans="1:41" hidden="1" outlineLevel="1" x14ac:dyDescent="0.25">
      <c r="B42" s="775"/>
      <c r="E42" s="767">
        <v>11</v>
      </c>
      <c r="F42" s="764"/>
      <c r="G42" s="757"/>
      <c r="J42" s="768" cm="1">
        <f t="array" ref="J42">SUMPRODUCT( (Begroting!$B$92:$B$108=$E42) * (Begroting!$Q$92:$Q$108) )*'Mijlpaal Berekening'!C61</f>
        <v>0</v>
      </c>
      <c r="K42" s="766" cm="1">
        <f t="array" ref="K42">SUMPRODUCT( (Begroting!$B$92:$B$108=$E42) * (Begroting!$Q$92:$Q$108) )*'Mijlpaal Berekening'!D61</f>
        <v>0</v>
      </c>
      <c r="L42" s="766" cm="1">
        <f t="array" ref="L42">SUMPRODUCT( (Begroting!$B$92:$B$108=$E42) * (Begroting!$Q$92:$Q$108) )*'Mijlpaal Berekening'!E61</f>
        <v>0</v>
      </c>
      <c r="M42" s="766" cm="1">
        <f t="array" ref="M42">SUMPRODUCT( (Begroting!$B$92:$B$108=$E42) * (Begroting!$Q$92:$Q$108) )*'Mijlpaal Berekening'!F61</f>
        <v>0</v>
      </c>
      <c r="N42" s="766" cm="1">
        <f t="array" ref="N42">SUMPRODUCT( (Begroting!$B$92:$B$108=$E42) * (Begroting!$Q$92:$Q$108) )*'Mijlpaal Berekening'!G61</f>
        <v>0</v>
      </c>
      <c r="O42" s="766" cm="1">
        <f t="array" ref="O42">SUMPRODUCT( (Begroting!$B$92:$B$108=$E42) * (Begroting!$Q$92:$Q$108) )*'Mijlpaal Berekening'!H61</f>
        <v>0</v>
      </c>
      <c r="P42" s="766" cm="1">
        <f t="array" ref="P42">SUMPRODUCT( (Begroting!$B$92:$B$108=$E42) * (Begroting!$Q$92:$Q$108) )*'Mijlpaal Berekening'!I61</f>
        <v>0</v>
      </c>
      <c r="Q42" s="769" cm="1">
        <f t="array" ref="Q42">SUMPRODUCT( (Begroting!$B$92:$B$108=$E42) * (Begroting!$Q$92:$Q$108) )*'Mijlpaal Berekening'!J61</f>
        <v>0</v>
      </c>
      <c r="R42" s="766"/>
      <c r="S42" s="766"/>
      <c r="T42" s="764"/>
      <c r="U42" s="764"/>
      <c r="V42" s="764"/>
      <c r="W42" s="764"/>
      <c r="X42" s="764"/>
      <c r="Y42" s="764"/>
      <c r="Z42" s="764"/>
      <c r="AA42" s="764"/>
      <c r="AB42" s="764"/>
      <c r="AC42" s="764"/>
      <c r="AD42" s="764"/>
      <c r="AE42" s="764"/>
      <c r="AF42" s="764"/>
      <c r="AG42" s="764"/>
      <c r="AH42" s="764"/>
      <c r="AI42" s="764"/>
      <c r="AJ42" s="764"/>
      <c r="AK42" s="764"/>
      <c r="AL42" s="764"/>
      <c r="AM42" s="764"/>
      <c r="AN42" s="764"/>
    </row>
    <row r="43" spans="1:41" hidden="1" outlineLevel="1" x14ac:dyDescent="0.25">
      <c r="B43" s="775"/>
      <c r="E43" s="767">
        <v>12</v>
      </c>
      <c r="F43" s="764"/>
      <c r="G43" s="757"/>
      <c r="J43" s="768" cm="1">
        <f t="array" ref="J43">SUMPRODUCT( (Begroting!$B$92:$B$108=$E43) * (Begroting!$Q$92:$Q$108) )*'Mijlpaal Berekening'!C62</f>
        <v>0</v>
      </c>
      <c r="K43" s="766" cm="1">
        <f t="array" ref="K43">SUMPRODUCT( (Begroting!$B$92:$B$108=$E43) * (Begroting!$Q$92:$Q$108) )*'Mijlpaal Berekening'!D62</f>
        <v>0</v>
      </c>
      <c r="L43" s="766" cm="1">
        <f t="array" ref="L43">SUMPRODUCT( (Begroting!$B$92:$B$108=$E43) * (Begroting!$Q$92:$Q$108) )*'Mijlpaal Berekening'!E62</f>
        <v>0</v>
      </c>
      <c r="M43" s="766" cm="1">
        <f t="array" ref="M43">SUMPRODUCT( (Begroting!$B$92:$B$108=$E43) * (Begroting!$Q$92:$Q$108) )*'Mijlpaal Berekening'!F62</f>
        <v>0</v>
      </c>
      <c r="N43" s="766" cm="1">
        <f t="array" ref="N43">SUMPRODUCT( (Begroting!$B$92:$B$108=$E43) * (Begroting!$Q$92:$Q$108) )*'Mijlpaal Berekening'!G62</f>
        <v>0</v>
      </c>
      <c r="O43" s="766" cm="1">
        <f t="array" ref="O43">SUMPRODUCT( (Begroting!$B$92:$B$108=$E43) * (Begroting!$Q$92:$Q$108) )*'Mijlpaal Berekening'!H62</f>
        <v>0</v>
      </c>
      <c r="P43" s="766" cm="1">
        <f t="array" ref="P43">SUMPRODUCT( (Begroting!$B$92:$B$108=$E43) * (Begroting!$Q$92:$Q$108) )*'Mijlpaal Berekening'!I62</f>
        <v>0</v>
      </c>
      <c r="Q43" s="769" cm="1">
        <f t="array" ref="Q43">SUMPRODUCT( (Begroting!$B$92:$B$108=$E43) * (Begroting!$Q$92:$Q$108) )*'Mijlpaal Berekening'!J62</f>
        <v>0</v>
      </c>
      <c r="R43" s="766"/>
      <c r="S43" s="766"/>
      <c r="T43" s="764"/>
      <c r="U43" s="764"/>
      <c r="V43" s="764"/>
      <c r="W43" s="764"/>
      <c r="X43" s="764"/>
      <c r="Y43" s="764"/>
      <c r="Z43" s="764"/>
      <c r="AA43" s="764"/>
      <c r="AB43" s="764"/>
      <c r="AC43" s="764"/>
      <c r="AD43" s="764"/>
      <c r="AE43" s="764"/>
      <c r="AF43" s="764"/>
      <c r="AG43" s="764"/>
      <c r="AH43" s="764"/>
      <c r="AI43" s="764"/>
      <c r="AJ43" s="764"/>
      <c r="AK43" s="764"/>
      <c r="AL43" s="764"/>
      <c r="AM43" s="764"/>
      <c r="AN43" s="764"/>
    </row>
    <row r="44" spans="1:41" hidden="1" outlineLevel="1" x14ac:dyDescent="0.25">
      <c r="B44" s="775"/>
      <c r="E44" s="767">
        <v>13</v>
      </c>
      <c r="F44" s="764"/>
      <c r="G44" s="757"/>
      <c r="J44" s="768" cm="1">
        <f t="array" ref="J44">SUMPRODUCT( (Begroting!$B$92:$B$108=$E44) * (Begroting!$Q$92:$Q$108) )*'Mijlpaal Berekening'!C63</f>
        <v>0</v>
      </c>
      <c r="K44" s="766" cm="1">
        <f t="array" ref="K44">SUMPRODUCT( (Begroting!$B$92:$B$108=$E44) * (Begroting!$Q$92:$Q$108) )*'Mijlpaal Berekening'!D63</f>
        <v>0</v>
      </c>
      <c r="L44" s="766" cm="1">
        <f t="array" ref="L44">SUMPRODUCT( (Begroting!$B$92:$B$108=$E44) * (Begroting!$Q$92:$Q$108) )*'Mijlpaal Berekening'!E63</f>
        <v>0</v>
      </c>
      <c r="M44" s="766" cm="1">
        <f t="array" ref="M44">SUMPRODUCT( (Begroting!$B$92:$B$108=$E44) * (Begroting!$Q$92:$Q$108) )*'Mijlpaal Berekening'!F63</f>
        <v>0</v>
      </c>
      <c r="N44" s="766" cm="1">
        <f t="array" ref="N44">SUMPRODUCT( (Begroting!$B$92:$B$108=$E44) * (Begroting!$Q$92:$Q$108) )*'Mijlpaal Berekening'!G63</f>
        <v>0</v>
      </c>
      <c r="O44" s="766" cm="1">
        <f t="array" ref="O44">SUMPRODUCT( (Begroting!$B$92:$B$108=$E44) * (Begroting!$Q$92:$Q$108) )*'Mijlpaal Berekening'!H63</f>
        <v>0</v>
      </c>
      <c r="P44" s="766" cm="1">
        <f t="array" ref="P44">SUMPRODUCT( (Begroting!$B$92:$B$108=$E44) * (Begroting!$Q$92:$Q$108) )*'Mijlpaal Berekening'!I63</f>
        <v>0</v>
      </c>
      <c r="Q44" s="769" cm="1">
        <f t="array" ref="Q44">SUMPRODUCT( (Begroting!$B$92:$B$108=$E44) * (Begroting!$Q$92:$Q$108) )*'Mijlpaal Berekening'!J63</f>
        <v>0</v>
      </c>
      <c r="R44" s="766"/>
      <c r="S44" s="766"/>
      <c r="T44" s="764"/>
      <c r="U44" s="764"/>
      <c r="V44" s="764"/>
      <c r="W44" s="764"/>
      <c r="X44" s="764"/>
      <c r="Y44" s="764"/>
      <c r="Z44" s="764"/>
      <c r="AA44" s="764"/>
      <c r="AB44" s="764"/>
      <c r="AC44" s="764"/>
      <c r="AD44" s="764"/>
      <c r="AE44" s="764"/>
      <c r="AF44" s="764"/>
      <c r="AG44" s="764"/>
      <c r="AH44" s="764"/>
      <c r="AI44" s="764"/>
      <c r="AJ44" s="764"/>
      <c r="AK44" s="764"/>
      <c r="AL44" s="764"/>
      <c r="AM44" s="764"/>
      <c r="AN44" s="764"/>
    </row>
    <row r="45" spans="1:41" hidden="1" outlineLevel="1" x14ac:dyDescent="0.25">
      <c r="B45" s="775"/>
      <c r="E45" s="767">
        <v>14</v>
      </c>
      <c r="F45" s="764"/>
      <c r="G45" s="757"/>
      <c r="J45" s="768" cm="1">
        <f t="array" ref="J45">SUMPRODUCT( (Begroting!$B$92:$B$108=$E45) * (Begroting!$Q$92:$Q$108) )*'Mijlpaal Berekening'!C64</f>
        <v>0</v>
      </c>
      <c r="K45" s="766" cm="1">
        <f t="array" ref="K45">SUMPRODUCT( (Begroting!$B$92:$B$108=$E45) * (Begroting!$Q$92:$Q$108) )*'Mijlpaal Berekening'!D64</f>
        <v>0</v>
      </c>
      <c r="L45" s="766" cm="1">
        <f t="array" ref="L45">SUMPRODUCT( (Begroting!$B$92:$B$108=$E45) * (Begroting!$Q$92:$Q$108) )*'Mijlpaal Berekening'!E64</f>
        <v>0</v>
      </c>
      <c r="M45" s="766" cm="1">
        <f t="array" ref="M45">SUMPRODUCT( (Begroting!$B$92:$B$108=$E45) * (Begroting!$Q$92:$Q$108) )*'Mijlpaal Berekening'!F64</f>
        <v>0</v>
      </c>
      <c r="N45" s="766" cm="1">
        <f t="array" ref="N45">SUMPRODUCT( (Begroting!$B$92:$B$108=$E45) * (Begroting!$Q$92:$Q$108) )*'Mijlpaal Berekening'!G64</f>
        <v>0</v>
      </c>
      <c r="O45" s="766" cm="1">
        <f t="array" ref="O45">SUMPRODUCT( (Begroting!$B$92:$B$108=$E45) * (Begroting!$Q$92:$Q$108) )*'Mijlpaal Berekening'!H64</f>
        <v>0</v>
      </c>
      <c r="P45" s="766" cm="1">
        <f t="array" ref="P45">SUMPRODUCT( (Begroting!$B$92:$B$108=$E45) * (Begroting!$Q$92:$Q$108) )*'Mijlpaal Berekening'!I64</f>
        <v>0</v>
      </c>
      <c r="Q45" s="769" cm="1">
        <f t="array" ref="Q45">SUMPRODUCT( (Begroting!$B$92:$B$108=$E45) * (Begroting!$Q$92:$Q$108) )*'Mijlpaal Berekening'!J64</f>
        <v>0</v>
      </c>
      <c r="R45" s="766"/>
      <c r="S45" s="766"/>
      <c r="T45" s="764"/>
      <c r="U45" s="764"/>
      <c r="V45" s="764"/>
      <c r="W45" s="764"/>
      <c r="X45" s="764"/>
      <c r="Y45" s="764"/>
      <c r="Z45" s="764"/>
      <c r="AA45" s="764"/>
      <c r="AB45" s="764"/>
      <c r="AC45" s="764"/>
      <c r="AD45" s="764"/>
      <c r="AE45" s="764"/>
      <c r="AF45" s="764"/>
      <c r="AG45" s="764"/>
      <c r="AH45" s="764"/>
      <c r="AI45" s="764"/>
      <c r="AJ45" s="764"/>
      <c r="AK45" s="764"/>
      <c r="AL45" s="764"/>
      <c r="AM45" s="764"/>
      <c r="AN45" s="764"/>
    </row>
    <row r="46" spans="1:41" hidden="1" outlineLevel="1" x14ac:dyDescent="0.25">
      <c r="B46" s="775"/>
      <c r="E46" s="767">
        <v>15</v>
      </c>
      <c r="F46" s="764"/>
      <c r="G46" s="757"/>
      <c r="J46" s="768" cm="1">
        <f t="array" ref="J46">SUMPRODUCT( (Begroting!$B$92:$B$108=$E46) * (Begroting!$Q$92:$Q$108) )*'Mijlpaal Berekening'!C65</f>
        <v>0</v>
      </c>
      <c r="K46" s="766" cm="1">
        <f t="array" ref="K46">SUMPRODUCT( (Begroting!$B$92:$B$108=$E46) * (Begroting!$Q$92:$Q$108) )*'Mijlpaal Berekening'!D65</f>
        <v>0</v>
      </c>
      <c r="L46" s="766" cm="1">
        <f t="array" ref="L46">SUMPRODUCT( (Begroting!$B$92:$B$108=$E46) * (Begroting!$Q$92:$Q$108) )*'Mijlpaal Berekening'!E65</f>
        <v>0</v>
      </c>
      <c r="M46" s="766" cm="1">
        <f t="array" ref="M46">SUMPRODUCT( (Begroting!$B$92:$B$108=$E46) * (Begroting!$Q$92:$Q$108) )*'Mijlpaal Berekening'!F65</f>
        <v>0</v>
      </c>
      <c r="N46" s="766" cm="1">
        <f t="array" ref="N46">SUMPRODUCT( (Begroting!$B$92:$B$108=$E46) * (Begroting!$Q$92:$Q$108) )*'Mijlpaal Berekening'!G65</f>
        <v>0</v>
      </c>
      <c r="O46" s="766" cm="1">
        <f t="array" ref="O46">SUMPRODUCT( (Begroting!$B$92:$B$108=$E46) * (Begroting!$Q$92:$Q$108) )*'Mijlpaal Berekening'!H65</f>
        <v>0</v>
      </c>
      <c r="P46" s="766" cm="1">
        <f t="array" ref="P46">SUMPRODUCT( (Begroting!$B$92:$B$108=$E46) * (Begroting!$Q$92:$Q$108) )*'Mijlpaal Berekening'!I65</f>
        <v>0</v>
      </c>
      <c r="Q46" s="769" cm="1">
        <f t="array" ref="Q46">SUMPRODUCT( (Begroting!$B$92:$B$108=$E46) * (Begroting!$Q$92:$Q$108) )*'Mijlpaal Berekening'!J65</f>
        <v>0</v>
      </c>
      <c r="R46" s="766"/>
      <c r="S46" s="766"/>
      <c r="T46" s="764"/>
      <c r="U46" s="764"/>
      <c r="V46" s="764"/>
      <c r="W46" s="764"/>
      <c r="X46" s="764"/>
      <c r="Y46" s="764"/>
      <c r="Z46" s="764"/>
      <c r="AA46" s="764"/>
      <c r="AB46" s="764"/>
      <c r="AC46" s="764"/>
      <c r="AD46" s="764"/>
      <c r="AE46" s="764"/>
      <c r="AF46" s="764"/>
      <c r="AG46" s="764"/>
      <c r="AH46" s="764"/>
      <c r="AI46" s="764"/>
      <c r="AJ46" s="764"/>
      <c r="AK46" s="764"/>
      <c r="AL46" s="764"/>
      <c r="AM46" s="764"/>
      <c r="AN46" s="764"/>
    </row>
    <row r="47" spans="1:41" s="762" customFormat="1" collapsed="1" x14ac:dyDescent="0.25">
      <c r="A47" s="773"/>
      <c r="E47" s="778" t="s">
        <v>537</v>
      </c>
      <c r="F47" s="766">
        <f>SUM(J47:AN47)</f>
        <v>0</v>
      </c>
      <c r="G47" s="762" t="s">
        <v>534</v>
      </c>
      <c r="H47" s="770"/>
      <c r="I47" s="778"/>
      <c r="J47" s="768">
        <f t="shared" ref="J47:AN47" si="1">SUM(J32:J46)*J$9</f>
        <v>0</v>
      </c>
      <c r="K47" s="766">
        <f t="shared" si="1"/>
        <v>0</v>
      </c>
      <c r="L47" s="766">
        <f t="shared" si="1"/>
        <v>0</v>
      </c>
      <c r="M47" s="766">
        <f t="shared" si="1"/>
        <v>0</v>
      </c>
      <c r="N47" s="766">
        <f t="shared" si="1"/>
        <v>0</v>
      </c>
      <c r="O47" s="766">
        <f t="shared" si="1"/>
        <v>0</v>
      </c>
      <c r="P47" s="766">
        <f t="shared" si="1"/>
        <v>0</v>
      </c>
      <c r="Q47" s="769">
        <f t="shared" si="1"/>
        <v>0</v>
      </c>
      <c r="R47" s="766">
        <f t="shared" si="1"/>
        <v>0</v>
      </c>
      <c r="S47" s="766">
        <f t="shared" si="1"/>
        <v>0</v>
      </c>
      <c r="T47" s="766">
        <f t="shared" si="1"/>
        <v>0</v>
      </c>
      <c r="U47" s="766">
        <f t="shared" si="1"/>
        <v>0</v>
      </c>
      <c r="V47" s="766">
        <f t="shared" si="1"/>
        <v>0</v>
      </c>
      <c r="W47" s="766">
        <f t="shared" si="1"/>
        <v>0</v>
      </c>
      <c r="X47" s="766">
        <f t="shared" si="1"/>
        <v>0</v>
      </c>
      <c r="Y47" s="766">
        <f t="shared" si="1"/>
        <v>0</v>
      </c>
      <c r="Z47" s="766">
        <f t="shared" si="1"/>
        <v>0</v>
      </c>
      <c r="AA47" s="766">
        <f t="shared" si="1"/>
        <v>0</v>
      </c>
      <c r="AB47" s="766">
        <f t="shared" si="1"/>
        <v>0</v>
      </c>
      <c r="AC47" s="766">
        <f t="shared" si="1"/>
        <v>0</v>
      </c>
      <c r="AD47" s="766">
        <f t="shared" si="1"/>
        <v>0</v>
      </c>
      <c r="AE47" s="766">
        <f t="shared" si="1"/>
        <v>0</v>
      </c>
      <c r="AF47" s="766">
        <f t="shared" si="1"/>
        <v>0</v>
      </c>
      <c r="AG47" s="766">
        <f t="shared" si="1"/>
        <v>0</v>
      </c>
      <c r="AH47" s="766">
        <f t="shared" si="1"/>
        <v>0</v>
      </c>
      <c r="AI47" s="766">
        <f t="shared" si="1"/>
        <v>0</v>
      </c>
      <c r="AJ47" s="766">
        <f t="shared" si="1"/>
        <v>0</v>
      </c>
      <c r="AK47" s="766">
        <f t="shared" si="1"/>
        <v>0</v>
      </c>
      <c r="AL47" s="766">
        <f t="shared" si="1"/>
        <v>0</v>
      </c>
      <c r="AM47" s="766">
        <f t="shared" si="1"/>
        <v>0</v>
      </c>
      <c r="AN47" s="766">
        <f t="shared" si="1"/>
        <v>0</v>
      </c>
      <c r="AO47" s="731"/>
    </row>
    <row r="48" spans="1:41" x14ac:dyDescent="0.25">
      <c r="E48" s="770"/>
      <c r="F48" s="770"/>
      <c r="G48" s="770"/>
    </row>
    <row r="49" spans="1:41" s="762" customFormat="1" x14ac:dyDescent="0.25">
      <c r="A49" s="773"/>
      <c r="E49" s="763" t="str">
        <f>Begroting!B67</f>
        <v>Investeringen in overdrachtstations</v>
      </c>
      <c r="F49" s="774">
        <f>Begroting!Q87</f>
        <v>0</v>
      </c>
      <c r="G49" s="762" t="s">
        <v>534</v>
      </c>
      <c r="H49" s="770"/>
      <c r="I49" s="770"/>
      <c r="J49" s="771"/>
      <c r="K49" s="770"/>
      <c r="L49" s="770"/>
      <c r="M49" s="770"/>
      <c r="N49" s="770"/>
      <c r="O49" s="770"/>
      <c r="P49" s="770"/>
      <c r="Q49" s="772"/>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31"/>
    </row>
    <row r="50" spans="1:41" x14ac:dyDescent="0.25">
      <c r="B50" s="775"/>
      <c r="E50" s="763" t="s">
        <v>535</v>
      </c>
      <c r="F50" s="764">
        <v>30</v>
      </c>
      <c r="G50" s="757" t="s">
        <v>503</v>
      </c>
      <c r="J50" s="776"/>
      <c r="K50" s="764"/>
      <c r="L50" s="764"/>
      <c r="M50" s="764"/>
      <c r="N50" s="764"/>
      <c r="O50" s="764"/>
      <c r="P50" s="764"/>
      <c r="Q50" s="777"/>
      <c r="R50" s="764"/>
      <c r="S50" s="764"/>
      <c r="T50" s="764"/>
      <c r="U50" s="764"/>
      <c r="V50" s="764"/>
      <c r="W50" s="764"/>
      <c r="X50" s="764"/>
      <c r="Y50" s="764"/>
      <c r="Z50" s="764"/>
      <c r="AA50" s="764"/>
      <c r="AB50" s="764"/>
      <c r="AC50" s="764"/>
      <c r="AD50" s="764"/>
      <c r="AE50" s="764"/>
      <c r="AF50" s="764"/>
      <c r="AG50" s="764"/>
      <c r="AH50" s="764"/>
      <c r="AI50" s="764"/>
      <c r="AJ50" s="764"/>
      <c r="AK50" s="764"/>
      <c r="AL50" s="764"/>
      <c r="AM50" s="764"/>
      <c r="AN50" s="764"/>
    </row>
    <row r="51" spans="1:41" hidden="1" outlineLevel="1" x14ac:dyDescent="0.25">
      <c r="B51" s="775"/>
      <c r="E51" s="767">
        <v>1</v>
      </c>
      <c r="F51" s="764"/>
      <c r="G51" s="757"/>
      <c r="J51" s="768" cm="1">
        <f t="array" ref="J51">SUMPRODUCT( (Begroting!$B$71:$B$85=$E51) * (Begroting!$Q$71:$Q$85) )*'Mijlpaal Berekening'!C51</f>
        <v>0</v>
      </c>
      <c r="K51" s="766" cm="1">
        <f t="array" ref="K51">SUMPRODUCT( (Begroting!$B$71:$B$85=$E51) * (Begroting!$Q$71:$Q$85) )*'Mijlpaal Berekening'!D51</f>
        <v>0</v>
      </c>
      <c r="L51" s="766" cm="1">
        <f t="array" ref="L51">SUMPRODUCT( (Begroting!$B$71:$B$85=$E51) * (Begroting!$Q$71:$Q$85) )*'Mijlpaal Berekening'!E51</f>
        <v>0</v>
      </c>
      <c r="M51" s="766" cm="1">
        <f t="array" ref="M51">SUMPRODUCT( (Begroting!$B$71:$B$85=$E51) * (Begroting!$Q$71:$Q$85) )*'Mijlpaal Berekening'!F51</f>
        <v>0</v>
      </c>
      <c r="N51" s="766" cm="1">
        <f t="array" ref="N51">SUMPRODUCT( (Begroting!$B$71:$B$85=$E51) * (Begroting!$Q$71:$Q$85) )*'Mijlpaal Berekening'!G51</f>
        <v>0</v>
      </c>
      <c r="O51" s="766" cm="1">
        <f t="array" ref="O51">SUMPRODUCT( (Begroting!$B$71:$B$85=$E51) * (Begroting!$Q$71:$Q$85) )*'Mijlpaal Berekening'!H51</f>
        <v>0</v>
      </c>
      <c r="P51" s="766" cm="1">
        <f t="array" ref="P51">SUMPRODUCT( (Begroting!$B$71:$B$85=$E51) * (Begroting!$Q$71:$Q$85) )*'Mijlpaal Berekening'!I51</f>
        <v>0</v>
      </c>
      <c r="Q51" s="769" cm="1">
        <f t="array" ref="Q51">SUMPRODUCT( (Begroting!$B$71:$B$85=$E51) * (Begroting!$Q$71:$Q$85) )*'Mijlpaal Berekening'!J51</f>
        <v>0</v>
      </c>
      <c r="R51" s="766"/>
      <c r="S51" s="766"/>
      <c r="T51" s="764"/>
      <c r="U51" s="764"/>
      <c r="V51" s="764"/>
      <c r="W51" s="764"/>
      <c r="X51" s="764"/>
      <c r="Y51" s="764"/>
      <c r="Z51" s="764"/>
      <c r="AA51" s="764"/>
      <c r="AB51" s="764"/>
      <c r="AC51" s="764"/>
      <c r="AD51" s="764"/>
      <c r="AE51" s="764"/>
      <c r="AF51" s="764"/>
      <c r="AG51" s="764"/>
      <c r="AH51" s="764"/>
      <c r="AI51" s="764"/>
      <c r="AJ51" s="764"/>
      <c r="AK51" s="764"/>
      <c r="AL51" s="764"/>
      <c r="AM51" s="764"/>
      <c r="AN51" s="764"/>
    </row>
    <row r="52" spans="1:41" hidden="1" outlineLevel="1" x14ac:dyDescent="0.25">
      <c r="B52" s="775"/>
      <c r="E52" s="767">
        <v>2</v>
      </c>
      <c r="F52" s="764"/>
      <c r="G52" s="757"/>
      <c r="J52" s="768" cm="1">
        <f t="array" ref="J52">SUMPRODUCT( (Begroting!$B$71:$B$85=$E52) * (Begroting!$Q$71:$Q$85) )*'Mijlpaal Berekening'!C52</f>
        <v>0</v>
      </c>
      <c r="K52" s="766" cm="1">
        <f t="array" ref="K52">SUMPRODUCT( (Begroting!$B$71:$B$85=$E52) * (Begroting!$Q$71:$Q$85) )*'Mijlpaal Berekening'!D52</f>
        <v>0</v>
      </c>
      <c r="L52" s="766" cm="1">
        <f t="array" ref="L52">SUMPRODUCT( (Begroting!$B$71:$B$85=$E52) * (Begroting!$Q$71:$Q$85) )*'Mijlpaal Berekening'!E52</f>
        <v>0</v>
      </c>
      <c r="M52" s="766" cm="1">
        <f t="array" ref="M52">SUMPRODUCT( (Begroting!$B$71:$B$85=$E52) * (Begroting!$Q$71:$Q$85) )*'Mijlpaal Berekening'!F52</f>
        <v>0</v>
      </c>
      <c r="N52" s="766" cm="1">
        <f t="array" ref="N52">SUMPRODUCT( (Begroting!$B$71:$B$85=$E52) * (Begroting!$Q$71:$Q$85) )*'Mijlpaal Berekening'!G52</f>
        <v>0</v>
      </c>
      <c r="O52" s="766" cm="1">
        <f t="array" ref="O52">SUMPRODUCT( (Begroting!$B$71:$B$85=$E52) * (Begroting!$Q$71:$Q$85) )*'Mijlpaal Berekening'!H52</f>
        <v>0</v>
      </c>
      <c r="P52" s="766" cm="1">
        <f t="array" ref="P52">SUMPRODUCT( (Begroting!$B$71:$B$85=$E52) * (Begroting!$Q$71:$Q$85) )*'Mijlpaal Berekening'!I52</f>
        <v>0</v>
      </c>
      <c r="Q52" s="769" cm="1">
        <f t="array" ref="Q52">SUMPRODUCT( (Begroting!$B$71:$B$85=$E52) * (Begroting!$Q$71:$Q$85) )*'Mijlpaal Berekening'!J52</f>
        <v>0</v>
      </c>
      <c r="R52" s="766"/>
      <c r="S52" s="766"/>
      <c r="T52" s="764"/>
      <c r="U52" s="764"/>
      <c r="V52" s="764"/>
      <c r="W52" s="764"/>
      <c r="X52" s="764"/>
      <c r="Y52" s="764"/>
      <c r="Z52" s="764"/>
      <c r="AA52" s="764"/>
      <c r="AB52" s="764"/>
      <c r="AC52" s="764"/>
      <c r="AD52" s="764"/>
      <c r="AE52" s="764"/>
      <c r="AF52" s="764"/>
      <c r="AG52" s="764"/>
      <c r="AH52" s="764"/>
      <c r="AI52" s="764"/>
      <c r="AJ52" s="764"/>
      <c r="AK52" s="764"/>
      <c r="AL52" s="764"/>
      <c r="AM52" s="764"/>
      <c r="AN52" s="764"/>
    </row>
    <row r="53" spans="1:41" hidden="1" outlineLevel="1" x14ac:dyDescent="0.25">
      <c r="B53" s="775"/>
      <c r="E53" s="767">
        <v>3</v>
      </c>
      <c r="F53" s="764"/>
      <c r="G53" s="757"/>
      <c r="J53" s="768" cm="1">
        <f t="array" ref="J53">SUMPRODUCT( (Begroting!$B$71:$B$85=$E53) * (Begroting!$Q$71:$Q$85) )*'Mijlpaal Berekening'!C53</f>
        <v>0</v>
      </c>
      <c r="K53" s="766" cm="1">
        <f t="array" ref="K53">SUMPRODUCT( (Begroting!$B$71:$B$85=$E53) * (Begroting!$Q$71:$Q$85) )*'Mijlpaal Berekening'!D53</f>
        <v>0</v>
      </c>
      <c r="L53" s="766" cm="1">
        <f t="array" ref="L53">SUMPRODUCT( (Begroting!$B$71:$B$85=$E53) * (Begroting!$Q$71:$Q$85) )*'Mijlpaal Berekening'!E53</f>
        <v>0</v>
      </c>
      <c r="M53" s="766" cm="1">
        <f t="array" ref="M53">SUMPRODUCT( (Begroting!$B$71:$B$85=$E53) * (Begroting!$Q$71:$Q$85) )*'Mijlpaal Berekening'!F53</f>
        <v>0</v>
      </c>
      <c r="N53" s="766" cm="1">
        <f t="array" ref="N53">SUMPRODUCT( (Begroting!$B$71:$B$85=$E53) * (Begroting!$Q$71:$Q$85) )*'Mijlpaal Berekening'!G53</f>
        <v>0</v>
      </c>
      <c r="O53" s="766" cm="1">
        <f t="array" ref="O53">SUMPRODUCT( (Begroting!$B$71:$B$85=$E53) * (Begroting!$Q$71:$Q$85) )*'Mijlpaal Berekening'!H53</f>
        <v>0</v>
      </c>
      <c r="P53" s="766" cm="1">
        <f t="array" ref="P53">SUMPRODUCT( (Begroting!$B$71:$B$85=$E53) * (Begroting!$Q$71:$Q$85) )*'Mijlpaal Berekening'!I53</f>
        <v>0</v>
      </c>
      <c r="Q53" s="769" cm="1">
        <f t="array" ref="Q53">SUMPRODUCT( (Begroting!$B$71:$B$85=$E53) * (Begroting!$Q$71:$Q$85) )*'Mijlpaal Berekening'!J53</f>
        <v>0</v>
      </c>
      <c r="R53" s="766"/>
      <c r="S53" s="766"/>
      <c r="T53" s="764"/>
      <c r="U53" s="764"/>
      <c r="V53" s="764"/>
      <c r="W53" s="764"/>
      <c r="X53" s="764"/>
      <c r="Y53" s="764"/>
      <c r="Z53" s="764"/>
      <c r="AA53" s="764"/>
      <c r="AB53" s="764"/>
      <c r="AC53" s="764"/>
      <c r="AD53" s="764"/>
      <c r="AE53" s="764"/>
      <c r="AF53" s="764"/>
      <c r="AG53" s="764"/>
      <c r="AH53" s="764"/>
      <c r="AI53" s="764"/>
      <c r="AJ53" s="764"/>
      <c r="AK53" s="764"/>
      <c r="AL53" s="764"/>
      <c r="AM53" s="764"/>
      <c r="AN53" s="764"/>
    </row>
    <row r="54" spans="1:41" hidden="1" outlineLevel="1" x14ac:dyDescent="0.25">
      <c r="B54" s="775"/>
      <c r="E54" s="767">
        <v>4</v>
      </c>
      <c r="F54" s="764"/>
      <c r="G54" s="757"/>
      <c r="J54" s="768" cm="1">
        <f t="array" ref="J54">SUMPRODUCT( (Begroting!$B$71:$B$85=$E54) * (Begroting!$Q$71:$Q$85) )*'Mijlpaal Berekening'!C54</f>
        <v>0</v>
      </c>
      <c r="K54" s="766" cm="1">
        <f t="array" ref="K54">SUMPRODUCT( (Begroting!$B$71:$B$85=$E54) * (Begroting!$Q$71:$Q$85) )*'Mijlpaal Berekening'!D54</f>
        <v>0</v>
      </c>
      <c r="L54" s="766" cm="1">
        <f t="array" ref="L54">SUMPRODUCT( (Begroting!$B$71:$B$85=$E54) * (Begroting!$Q$71:$Q$85) )*'Mijlpaal Berekening'!E54</f>
        <v>0</v>
      </c>
      <c r="M54" s="766" cm="1">
        <f t="array" ref="M54">SUMPRODUCT( (Begroting!$B$71:$B$85=$E54) * (Begroting!$Q$71:$Q$85) )*'Mijlpaal Berekening'!F54</f>
        <v>0</v>
      </c>
      <c r="N54" s="766" cm="1">
        <f t="array" ref="N54">SUMPRODUCT( (Begroting!$B$71:$B$85=$E54) * (Begroting!$Q$71:$Q$85) )*'Mijlpaal Berekening'!G54</f>
        <v>0</v>
      </c>
      <c r="O54" s="766" cm="1">
        <f t="array" ref="O54">SUMPRODUCT( (Begroting!$B$71:$B$85=$E54) * (Begroting!$Q$71:$Q$85) )*'Mijlpaal Berekening'!H54</f>
        <v>0</v>
      </c>
      <c r="P54" s="766" cm="1">
        <f t="array" ref="P54">SUMPRODUCT( (Begroting!$B$71:$B$85=$E54) * (Begroting!$Q$71:$Q$85) )*'Mijlpaal Berekening'!I54</f>
        <v>0</v>
      </c>
      <c r="Q54" s="769" cm="1">
        <f t="array" ref="Q54">SUMPRODUCT( (Begroting!$B$71:$B$85=$E54) * (Begroting!$Q$71:$Q$85) )*'Mijlpaal Berekening'!J54</f>
        <v>0</v>
      </c>
      <c r="R54" s="766"/>
      <c r="S54" s="766"/>
      <c r="T54" s="764"/>
      <c r="U54" s="764"/>
      <c r="V54" s="764"/>
      <c r="W54" s="764"/>
      <c r="X54" s="764"/>
      <c r="Y54" s="764"/>
      <c r="Z54" s="764"/>
      <c r="AA54" s="764"/>
      <c r="AB54" s="764"/>
      <c r="AC54" s="764"/>
      <c r="AD54" s="764"/>
      <c r="AE54" s="764"/>
      <c r="AF54" s="764"/>
      <c r="AG54" s="764"/>
      <c r="AH54" s="764"/>
      <c r="AI54" s="764"/>
      <c r="AJ54" s="764"/>
      <c r="AK54" s="764"/>
      <c r="AL54" s="764"/>
      <c r="AM54" s="764"/>
      <c r="AN54" s="764"/>
    </row>
    <row r="55" spans="1:41" hidden="1" outlineLevel="1" x14ac:dyDescent="0.25">
      <c r="B55" s="775"/>
      <c r="E55" s="767">
        <v>5</v>
      </c>
      <c r="F55" s="764"/>
      <c r="G55" s="757"/>
      <c r="J55" s="768" cm="1">
        <f t="array" ref="J55">SUMPRODUCT( (Begroting!$B$71:$B$85=$E55) * (Begroting!$Q$71:$Q$85) )*'Mijlpaal Berekening'!C55</f>
        <v>0</v>
      </c>
      <c r="K55" s="766" cm="1">
        <f t="array" ref="K55">SUMPRODUCT( (Begroting!$B$71:$B$85=$E55) * (Begroting!$Q$71:$Q$85) )*'Mijlpaal Berekening'!D55</f>
        <v>0</v>
      </c>
      <c r="L55" s="766" cm="1">
        <f t="array" ref="L55">SUMPRODUCT( (Begroting!$B$71:$B$85=$E55) * (Begroting!$Q$71:$Q$85) )*'Mijlpaal Berekening'!E55</f>
        <v>0</v>
      </c>
      <c r="M55" s="766" cm="1">
        <f t="array" ref="M55">SUMPRODUCT( (Begroting!$B$71:$B$85=$E55) * (Begroting!$Q$71:$Q$85) )*'Mijlpaal Berekening'!F55</f>
        <v>0</v>
      </c>
      <c r="N55" s="766" cm="1">
        <f t="array" ref="N55">SUMPRODUCT( (Begroting!$B$71:$B$85=$E55) * (Begroting!$Q$71:$Q$85) )*'Mijlpaal Berekening'!G55</f>
        <v>0</v>
      </c>
      <c r="O55" s="766" cm="1">
        <f t="array" ref="O55">SUMPRODUCT( (Begroting!$B$71:$B$85=$E55) * (Begroting!$Q$71:$Q$85) )*'Mijlpaal Berekening'!H55</f>
        <v>0</v>
      </c>
      <c r="P55" s="766" cm="1">
        <f t="array" ref="P55">SUMPRODUCT( (Begroting!$B$71:$B$85=$E55) * (Begroting!$Q$71:$Q$85) )*'Mijlpaal Berekening'!I55</f>
        <v>0</v>
      </c>
      <c r="Q55" s="769" cm="1">
        <f t="array" ref="Q55">SUMPRODUCT( (Begroting!$B$71:$B$85=$E55) * (Begroting!$Q$71:$Q$85) )*'Mijlpaal Berekening'!J55</f>
        <v>0</v>
      </c>
      <c r="R55" s="766"/>
      <c r="S55" s="766"/>
      <c r="T55" s="764"/>
      <c r="U55" s="764"/>
      <c r="V55" s="764"/>
      <c r="W55" s="764"/>
      <c r="X55" s="764"/>
      <c r="Y55" s="764"/>
      <c r="Z55" s="764"/>
      <c r="AA55" s="764"/>
      <c r="AB55" s="764"/>
      <c r="AC55" s="764"/>
      <c r="AD55" s="764"/>
      <c r="AE55" s="764"/>
      <c r="AF55" s="764"/>
      <c r="AG55" s="764"/>
      <c r="AH55" s="764"/>
      <c r="AI55" s="764"/>
      <c r="AJ55" s="764"/>
      <c r="AK55" s="764"/>
      <c r="AL55" s="764"/>
      <c r="AM55" s="764"/>
      <c r="AN55" s="764"/>
    </row>
    <row r="56" spans="1:41" hidden="1" outlineLevel="1" x14ac:dyDescent="0.25">
      <c r="B56" s="775"/>
      <c r="E56" s="767">
        <v>6</v>
      </c>
      <c r="F56" s="764"/>
      <c r="G56" s="757"/>
      <c r="J56" s="768" cm="1">
        <f t="array" ref="J56">SUMPRODUCT( (Begroting!$B$71:$B$85=$E56) * (Begroting!$Q$71:$Q$85) )*'Mijlpaal Berekening'!C56</f>
        <v>0</v>
      </c>
      <c r="K56" s="766" cm="1">
        <f t="array" ref="K56">SUMPRODUCT( (Begroting!$B$71:$B$85=$E56) * (Begroting!$Q$71:$Q$85) )*'Mijlpaal Berekening'!D56</f>
        <v>0</v>
      </c>
      <c r="L56" s="766" cm="1">
        <f t="array" ref="L56">SUMPRODUCT( (Begroting!$B$71:$B$85=$E56) * (Begroting!$Q$71:$Q$85) )*'Mijlpaal Berekening'!E56</f>
        <v>0</v>
      </c>
      <c r="M56" s="766" cm="1">
        <f t="array" ref="M56">SUMPRODUCT( (Begroting!$B$71:$B$85=$E56) * (Begroting!$Q$71:$Q$85) )*'Mijlpaal Berekening'!F56</f>
        <v>0</v>
      </c>
      <c r="N56" s="766" cm="1">
        <f t="array" ref="N56">SUMPRODUCT( (Begroting!$B$71:$B$85=$E56) * (Begroting!$Q$71:$Q$85) )*'Mijlpaal Berekening'!G56</f>
        <v>0</v>
      </c>
      <c r="O56" s="766" cm="1">
        <f t="array" ref="O56">SUMPRODUCT( (Begroting!$B$71:$B$85=$E56) * (Begroting!$Q$71:$Q$85) )*'Mijlpaal Berekening'!H56</f>
        <v>0</v>
      </c>
      <c r="P56" s="766" cm="1">
        <f t="array" ref="P56">SUMPRODUCT( (Begroting!$B$71:$B$85=$E56) * (Begroting!$Q$71:$Q$85) )*'Mijlpaal Berekening'!I56</f>
        <v>0</v>
      </c>
      <c r="Q56" s="769" cm="1">
        <f t="array" ref="Q56">SUMPRODUCT( (Begroting!$B$71:$B$85=$E56) * (Begroting!$Q$71:$Q$85) )*'Mijlpaal Berekening'!J56</f>
        <v>0</v>
      </c>
      <c r="R56" s="766"/>
      <c r="S56" s="766"/>
      <c r="T56" s="764"/>
      <c r="U56" s="764"/>
      <c r="V56" s="764"/>
      <c r="W56" s="764"/>
      <c r="X56" s="764"/>
      <c r="Y56" s="764"/>
      <c r="Z56" s="764"/>
      <c r="AA56" s="764"/>
      <c r="AB56" s="764"/>
      <c r="AC56" s="764"/>
      <c r="AD56" s="764"/>
      <c r="AE56" s="764"/>
      <c r="AF56" s="764"/>
      <c r="AG56" s="764"/>
      <c r="AH56" s="764"/>
      <c r="AI56" s="764"/>
      <c r="AJ56" s="764"/>
      <c r="AK56" s="764"/>
      <c r="AL56" s="764"/>
      <c r="AM56" s="764"/>
      <c r="AN56" s="764"/>
    </row>
    <row r="57" spans="1:41" hidden="1" outlineLevel="1" x14ac:dyDescent="0.25">
      <c r="B57" s="775"/>
      <c r="E57" s="767">
        <v>7</v>
      </c>
      <c r="F57" s="764"/>
      <c r="G57" s="757"/>
      <c r="J57" s="768" cm="1">
        <f t="array" ref="J57">SUMPRODUCT( (Begroting!$B$71:$B$85=$E57) * (Begroting!$Q$71:$Q$85) )*'Mijlpaal Berekening'!C57</f>
        <v>0</v>
      </c>
      <c r="K57" s="766" cm="1">
        <f t="array" ref="K57">SUMPRODUCT( (Begroting!$B$71:$B$85=$E57) * (Begroting!$Q$71:$Q$85) )*'Mijlpaal Berekening'!D57</f>
        <v>0</v>
      </c>
      <c r="L57" s="766" cm="1">
        <f t="array" ref="L57">SUMPRODUCT( (Begroting!$B$71:$B$85=$E57) * (Begroting!$Q$71:$Q$85) )*'Mijlpaal Berekening'!E57</f>
        <v>0</v>
      </c>
      <c r="M57" s="766" cm="1">
        <f t="array" ref="M57">SUMPRODUCT( (Begroting!$B$71:$B$85=$E57) * (Begroting!$Q$71:$Q$85) )*'Mijlpaal Berekening'!F57</f>
        <v>0</v>
      </c>
      <c r="N57" s="766" cm="1">
        <f t="array" ref="N57">SUMPRODUCT( (Begroting!$B$71:$B$85=$E57) * (Begroting!$Q$71:$Q$85) )*'Mijlpaal Berekening'!G57</f>
        <v>0</v>
      </c>
      <c r="O57" s="766" cm="1">
        <f t="array" ref="O57">SUMPRODUCT( (Begroting!$B$71:$B$85=$E57) * (Begroting!$Q$71:$Q$85) )*'Mijlpaal Berekening'!H57</f>
        <v>0</v>
      </c>
      <c r="P57" s="766" cm="1">
        <f t="array" ref="P57">SUMPRODUCT( (Begroting!$B$71:$B$85=$E57) * (Begroting!$Q$71:$Q$85) )*'Mijlpaal Berekening'!I57</f>
        <v>0</v>
      </c>
      <c r="Q57" s="769" cm="1">
        <f t="array" ref="Q57">SUMPRODUCT( (Begroting!$B$71:$B$85=$E57) * (Begroting!$Q$71:$Q$85) )*'Mijlpaal Berekening'!J57</f>
        <v>0</v>
      </c>
      <c r="R57" s="766"/>
      <c r="S57" s="766"/>
      <c r="T57" s="764"/>
      <c r="U57" s="764"/>
      <c r="V57" s="764"/>
      <c r="W57" s="764"/>
      <c r="X57" s="764"/>
      <c r="Y57" s="764"/>
      <c r="Z57" s="764"/>
      <c r="AA57" s="764"/>
      <c r="AB57" s="764"/>
      <c r="AC57" s="764"/>
      <c r="AD57" s="764"/>
      <c r="AE57" s="764"/>
      <c r="AF57" s="764"/>
      <c r="AG57" s="764"/>
      <c r="AH57" s="764"/>
      <c r="AI57" s="764"/>
      <c r="AJ57" s="764"/>
      <c r="AK57" s="764"/>
      <c r="AL57" s="764"/>
      <c r="AM57" s="764"/>
      <c r="AN57" s="764"/>
    </row>
    <row r="58" spans="1:41" hidden="1" outlineLevel="1" x14ac:dyDescent="0.25">
      <c r="B58" s="775"/>
      <c r="E58" s="767">
        <v>8</v>
      </c>
      <c r="F58" s="764"/>
      <c r="G58" s="757"/>
      <c r="J58" s="768" cm="1">
        <f t="array" ref="J58">SUMPRODUCT( (Begroting!$B$71:$B$85=$E58) * (Begroting!$Q$71:$Q$85) )*'Mijlpaal Berekening'!C58</f>
        <v>0</v>
      </c>
      <c r="K58" s="766" cm="1">
        <f t="array" ref="K58">SUMPRODUCT( (Begroting!$B$71:$B$85=$E58) * (Begroting!$Q$71:$Q$85) )*'Mijlpaal Berekening'!D58</f>
        <v>0</v>
      </c>
      <c r="L58" s="766" cm="1">
        <f t="array" ref="L58">SUMPRODUCT( (Begroting!$B$71:$B$85=$E58) * (Begroting!$Q$71:$Q$85) )*'Mijlpaal Berekening'!E58</f>
        <v>0</v>
      </c>
      <c r="M58" s="766" cm="1">
        <f t="array" ref="M58">SUMPRODUCT( (Begroting!$B$71:$B$85=$E58) * (Begroting!$Q$71:$Q$85) )*'Mijlpaal Berekening'!F58</f>
        <v>0</v>
      </c>
      <c r="N58" s="766" cm="1">
        <f t="array" ref="N58">SUMPRODUCT( (Begroting!$B$71:$B$85=$E58) * (Begroting!$Q$71:$Q$85) )*'Mijlpaal Berekening'!G58</f>
        <v>0</v>
      </c>
      <c r="O58" s="766" cm="1">
        <f t="array" ref="O58">SUMPRODUCT( (Begroting!$B$71:$B$85=$E58) * (Begroting!$Q$71:$Q$85) )*'Mijlpaal Berekening'!H58</f>
        <v>0</v>
      </c>
      <c r="P58" s="766" cm="1">
        <f t="array" ref="P58">SUMPRODUCT( (Begroting!$B$71:$B$85=$E58) * (Begroting!$Q$71:$Q$85) )*'Mijlpaal Berekening'!I58</f>
        <v>0</v>
      </c>
      <c r="Q58" s="769" cm="1">
        <f t="array" ref="Q58">SUMPRODUCT( (Begroting!$B$71:$B$85=$E58) * (Begroting!$Q$71:$Q$85) )*'Mijlpaal Berekening'!J58</f>
        <v>0</v>
      </c>
      <c r="R58" s="766"/>
      <c r="S58" s="766"/>
      <c r="T58" s="764"/>
      <c r="U58" s="764"/>
      <c r="V58" s="764"/>
      <c r="W58" s="764"/>
      <c r="X58" s="764"/>
      <c r="Y58" s="764"/>
      <c r="Z58" s="764"/>
      <c r="AA58" s="764"/>
      <c r="AB58" s="764"/>
      <c r="AC58" s="764"/>
      <c r="AD58" s="764"/>
      <c r="AE58" s="764"/>
      <c r="AF58" s="764"/>
      <c r="AG58" s="764"/>
      <c r="AH58" s="764"/>
      <c r="AI58" s="764"/>
      <c r="AJ58" s="764"/>
      <c r="AK58" s="764"/>
      <c r="AL58" s="764"/>
      <c r="AM58" s="764"/>
      <c r="AN58" s="764"/>
    </row>
    <row r="59" spans="1:41" hidden="1" outlineLevel="1" x14ac:dyDescent="0.25">
      <c r="B59" s="775"/>
      <c r="E59" s="767">
        <v>9</v>
      </c>
      <c r="F59" s="764"/>
      <c r="G59" s="757"/>
      <c r="J59" s="768" cm="1">
        <f t="array" ref="J59">SUMPRODUCT( (Begroting!$B$71:$B$85=$E59) * (Begroting!$Q$71:$Q$85) )*'Mijlpaal Berekening'!C59</f>
        <v>0</v>
      </c>
      <c r="K59" s="766" cm="1">
        <f t="array" ref="K59">SUMPRODUCT( (Begroting!$B$71:$B$85=$E59) * (Begroting!$Q$71:$Q$85) )*'Mijlpaal Berekening'!D59</f>
        <v>0</v>
      </c>
      <c r="L59" s="766" cm="1">
        <f t="array" ref="L59">SUMPRODUCT( (Begroting!$B$71:$B$85=$E59) * (Begroting!$Q$71:$Q$85) )*'Mijlpaal Berekening'!E59</f>
        <v>0</v>
      </c>
      <c r="M59" s="766" cm="1">
        <f t="array" ref="M59">SUMPRODUCT( (Begroting!$B$71:$B$85=$E59) * (Begroting!$Q$71:$Q$85) )*'Mijlpaal Berekening'!F59</f>
        <v>0</v>
      </c>
      <c r="N59" s="766" cm="1">
        <f t="array" ref="N59">SUMPRODUCT( (Begroting!$B$71:$B$85=$E59) * (Begroting!$Q$71:$Q$85) )*'Mijlpaal Berekening'!G59</f>
        <v>0</v>
      </c>
      <c r="O59" s="766" cm="1">
        <f t="array" ref="O59">SUMPRODUCT( (Begroting!$B$71:$B$85=$E59) * (Begroting!$Q$71:$Q$85) )*'Mijlpaal Berekening'!H59</f>
        <v>0</v>
      </c>
      <c r="P59" s="766" cm="1">
        <f t="array" ref="P59">SUMPRODUCT( (Begroting!$B$71:$B$85=$E59) * (Begroting!$Q$71:$Q$85) )*'Mijlpaal Berekening'!I59</f>
        <v>0</v>
      </c>
      <c r="Q59" s="769" cm="1">
        <f t="array" ref="Q59">SUMPRODUCT( (Begroting!$B$71:$B$85=$E59) * (Begroting!$Q$71:$Q$85) )*'Mijlpaal Berekening'!J59</f>
        <v>0</v>
      </c>
      <c r="R59" s="766"/>
      <c r="S59" s="766"/>
      <c r="T59" s="764"/>
      <c r="U59" s="764"/>
      <c r="V59" s="764"/>
      <c r="W59" s="764"/>
      <c r="X59" s="764"/>
      <c r="Y59" s="764"/>
      <c r="Z59" s="764"/>
      <c r="AA59" s="764"/>
      <c r="AB59" s="764"/>
      <c r="AC59" s="764"/>
      <c r="AD59" s="764"/>
      <c r="AE59" s="764"/>
      <c r="AF59" s="764"/>
      <c r="AG59" s="764"/>
      <c r="AH59" s="764"/>
      <c r="AI59" s="764"/>
      <c r="AJ59" s="764"/>
      <c r="AK59" s="764"/>
      <c r="AL59" s="764"/>
      <c r="AM59" s="764"/>
      <c r="AN59" s="764"/>
    </row>
    <row r="60" spans="1:41" hidden="1" outlineLevel="1" x14ac:dyDescent="0.25">
      <c r="B60" s="775"/>
      <c r="E60" s="767">
        <v>10</v>
      </c>
      <c r="F60" s="764"/>
      <c r="G60" s="757"/>
      <c r="J60" s="768" cm="1">
        <f t="array" ref="J60">SUMPRODUCT( (Begroting!$B$71:$B$85=$E60) * (Begroting!$Q$71:$Q$85) )*'Mijlpaal Berekening'!C60</f>
        <v>0</v>
      </c>
      <c r="K60" s="766" cm="1">
        <f t="array" ref="K60">SUMPRODUCT( (Begroting!$B$71:$B$85=$E60) * (Begroting!$Q$71:$Q$85) )*'Mijlpaal Berekening'!D60</f>
        <v>0</v>
      </c>
      <c r="L60" s="766" cm="1">
        <f t="array" ref="L60">SUMPRODUCT( (Begroting!$B$71:$B$85=$E60) * (Begroting!$Q$71:$Q$85) )*'Mijlpaal Berekening'!E60</f>
        <v>0</v>
      </c>
      <c r="M60" s="766" cm="1">
        <f t="array" ref="M60">SUMPRODUCT( (Begroting!$B$71:$B$85=$E60) * (Begroting!$Q$71:$Q$85) )*'Mijlpaal Berekening'!F60</f>
        <v>0</v>
      </c>
      <c r="N60" s="766" cm="1">
        <f t="array" ref="N60">SUMPRODUCT( (Begroting!$B$71:$B$85=$E60) * (Begroting!$Q$71:$Q$85) )*'Mijlpaal Berekening'!G60</f>
        <v>0</v>
      </c>
      <c r="O60" s="766" cm="1">
        <f t="array" ref="O60">SUMPRODUCT( (Begroting!$B$71:$B$85=$E60) * (Begroting!$Q$71:$Q$85) )*'Mijlpaal Berekening'!H60</f>
        <v>0</v>
      </c>
      <c r="P60" s="766" cm="1">
        <f t="array" ref="P60">SUMPRODUCT( (Begroting!$B$71:$B$85=$E60) * (Begroting!$Q$71:$Q$85) )*'Mijlpaal Berekening'!I60</f>
        <v>0</v>
      </c>
      <c r="Q60" s="769" cm="1">
        <f t="array" ref="Q60">SUMPRODUCT( (Begroting!$B$71:$B$85=$E60) * (Begroting!$Q$71:$Q$85) )*'Mijlpaal Berekening'!J60</f>
        <v>0</v>
      </c>
      <c r="R60" s="766"/>
      <c r="S60" s="766"/>
      <c r="T60" s="764"/>
      <c r="U60" s="764"/>
      <c r="V60" s="764"/>
      <c r="W60" s="764"/>
      <c r="X60" s="764"/>
      <c r="Y60" s="764"/>
      <c r="Z60" s="764"/>
      <c r="AA60" s="764"/>
      <c r="AB60" s="764"/>
      <c r="AC60" s="764"/>
      <c r="AD60" s="764"/>
      <c r="AE60" s="764"/>
      <c r="AF60" s="764"/>
      <c r="AG60" s="764"/>
      <c r="AH60" s="764"/>
      <c r="AI60" s="764"/>
      <c r="AJ60" s="764"/>
      <c r="AK60" s="764"/>
      <c r="AL60" s="764"/>
      <c r="AM60" s="764"/>
      <c r="AN60" s="764"/>
    </row>
    <row r="61" spans="1:41" hidden="1" outlineLevel="1" x14ac:dyDescent="0.25">
      <c r="B61" s="775"/>
      <c r="E61" s="767">
        <v>11</v>
      </c>
      <c r="F61" s="764"/>
      <c r="G61" s="757"/>
      <c r="J61" s="768" cm="1">
        <f t="array" ref="J61">SUMPRODUCT( (Begroting!$B$71:$B$85=$E61) * (Begroting!$Q$71:$Q$85) )*'Mijlpaal Berekening'!C61</f>
        <v>0</v>
      </c>
      <c r="K61" s="766" cm="1">
        <f t="array" ref="K61">SUMPRODUCT( (Begroting!$B$71:$B$85=$E61) * (Begroting!$Q$71:$Q$85) )*'Mijlpaal Berekening'!D61</f>
        <v>0</v>
      </c>
      <c r="L61" s="766" cm="1">
        <f t="array" ref="L61">SUMPRODUCT( (Begroting!$B$71:$B$85=$E61) * (Begroting!$Q$71:$Q$85) )*'Mijlpaal Berekening'!E61</f>
        <v>0</v>
      </c>
      <c r="M61" s="766" cm="1">
        <f t="array" ref="M61">SUMPRODUCT( (Begroting!$B$71:$B$85=$E61) * (Begroting!$Q$71:$Q$85) )*'Mijlpaal Berekening'!F61</f>
        <v>0</v>
      </c>
      <c r="N61" s="766" cm="1">
        <f t="array" ref="N61">SUMPRODUCT( (Begroting!$B$71:$B$85=$E61) * (Begroting!$Q$71:$Q$85) )*'Mijlpaal Berekening'!G61</f>
        <v>0</v>
      </c>
      <c r="O61" s="766" cm="1">
        <f t="array" ref="O61">SUMPRODUCT( (Begroting!$B$71:$B$85=$E61) * (Begroting!$Q$71:$Q$85) )*'Mijlpaal Berekening'!H61</f>
        <v>0</v>
      </c>
      <c r="P61" s="766" cm="1">
        <f t="array" ref="P61">SUMPRODUCT( (Begroting!$B$71:$B$85=$E61) * (Begroting!$Q$71:$Q$85) )*'Mijlpaal Berekening'!I61</f>
        <v>0</v>
      </c>
      <c r="Q61" s="769" cm="1">
        <f t="array" ref="Q61">SUMPRODUCT( (Begroting!$B$71:$B$85=$E61) * (Begroting!$Q$71:$Q$85) )*'Mijlpaal Berekening'!J61</f>
        <v>0</v>
      </c>
      <c r="R61" s="766"/>
      <c r="S61" s="766"/>
      <c r="T61" s="764"/>
      <c r="U61" s="764"/>
      <c r="V61" s="764"/>
      <c r="W61" s="764"/>
      <c r="X61" s="764"/>
      <c r="Y61" s="764"/>
      <c r="Z61" s="764"/>
      <c r="AA61" s="764"/>
      <c r="AB61" s="764"/>
      <c r="AC61" s="764"/>
      <c r="AD61" s="764"/>
      <c r="AE61" s="764"/>
      <c r="AF61" s="764"/>
      <c r="AG61" s="764"/>
      <c r="AH61" s="764"/>
      <c r="AI61" s="764"/>
      <c r="AJ61" s="764"/>
      <c r="AK61" s="764"/>
      <c r="AL61" s="764"/>
      <c r="AM61" s="764"/>
      <c r="AN61" s="764"/>
    </row>
    <row r="62" spans="1:41" hidden="1" outlineLevel="1" x14ac:dyDescent="0.25">
      <c r="B62" s="775"/>
      <c r="E62" s="767">
        <v>12</v>
      </c>
      <c r="F62" s="764"/>
      <c r="G62" s="757"/>
      <c r="J62" s="768" cm="1">
        <f t="array" ref="J62">SUMPRODUCT( (Begroting!$B$71:$B$85=$E62) * (Begroting!$Q$71:$Q$85) )*'Mijlpaal Berekening'!C62</f>
        <v>0</v>
      </c>
      <c r="K62" s="766" cm="1">
        <f t="array" ref="K62">SUMPRODUCT( (Begroting!$B$71:$B$85=$E62) * (Begroting!$Q$71:$Q$85) )*'Mijlpaal Berekening'!D62</f>
        <v>0</v>
      </c>
      <c r="L62" s="766" cm="1">
        <f t="array" ref="L62">SUMPRODUCT( (Begroting!$B$71:$B$85=$E62) * (Begroting!$Q$71:$Q$85) )*'Mijlpaal Berekening'!E62</f>
        <v>0</v>
      </c>
      <c r="M62" s="766" cm="1">
        <f t="array" ref="M62">SUMPRODUCT( (Begroting!$B$71:$B$85=$E62) * (Begroting!$Q$71:$Q$85) )*'Mijlpaal Berekening'!F62</f>
        <v>0</v>
      </c>
      <c r="N62" s="766" cm="1">
        <f t="array" ref="N62">SUMPRODUCT( (Begroting!$B$71:$B$85=$E62) * (Begroting!$Q$71:$Q$85) )*'Mijlpaal Berekening'!G62</f>
        <v>0</v>
      </c>
      <c r="O62" s="766" cm="1">
        <f t="array" ref="O62">SUMPRODUCT( (Begroting!$B$71:$B$85=$E62) * (Begroting!$Q$71:$Q$85) )*'Mijlpaal Berekening'!H62</f>
        <v>0</v>
      </c>
      <c r="P62" s="766" cm="1">
        <f t="array" ref="P62">SUMPRODUCT( (Begroting!$B$71:$B$85=$E62) * (Begroting!$Q$71:$Q$85) )*'Mijlpaal Berekening'!I62</f>
        <v>0</v>
      </c>
      <c r="Q62" s="769" cm="1">
        <f t="array" ref="Q62">SUMPRODUCT( (Begroting!$B$71:$B$85=$E62) * (Begroting!$Q$71:$Q$85) )*'Mijlpaal Berekening'!J62</f>
        <v>0</v>
      </c>
      <c r="R62" s="766"/>
      <c r="S62" s="766"/>
      <c r="T62" s="764"/>
      <c r="U62" s="764"/>
      <c r="V62" s="764"/>
      <c r="W62" s="764"/>
      <c r="X62" s="764"/>
      <c r="Y62" s="764"/>
      <c r="Z62" s="764"/>
      <c r="AA62" s="764"/>
      <c r="AB62" s="764"/>
      <c r="AC62" s="764"/>
      <c r="AD62" s="764"/>
      <c r="AE62" s="764"/>
      <c r="AF62" s="764"/>
      <c r="AG62" s="764"/>
      <c r="AH62" s="764"/>
      <c r="AI62" s="764"/>
      <c r="AJ62" s="764"/>
      <c r="AK62" s="764"/>
      <c r="AL62" s="764"/>
      <c r="AM62" s="764"/>
      <c r="AN62" s="764"/>
    </row>
    <row r="63" spans="1:41" hidden="1" outlineLevel="1" x14ac:dyDescent="0.25">
      <c r="B63" s="775"/>
      <c r="E63" s="767">
        <v>13</v>
      </c>
      <c r="F63" s="764"/>
      <c r="G63" s="757"/>
      <c r="J63" s="768" cm="1">
        <f t="array" ref="J63">SUMPRODUCT( (Begroting!$B$71:$B$85=$E63) * (Begroting!$Q$71:$Q$85) )*'Mijlpaal Berekening'!C63</f>
        <v>0</v>
      </c>
      <c r="K63" s="766" cm="1">
        <f t="array" ref="K63">SUMPRODUCT( (Begroting!$B$71:$B$85=$E63) * (Begroting!$Q$71:$Q$85) )*'Mijlpaal Berekening'!D63</f>
        <v>0</v>
      </c>
      <c r="L63" s="766" cm="1">
        <f t="array" ref="L63">SUMPRODUCT( (Begroting!$B$71:$B$85=$E63) * (Begroting!$Q$71:$Q$85) )*'Mijlpaal Berekening'!E63</f>
        <v>0</v>
      </c>
      <c r="M63" s="766" cm="1">
        <f t="array" ref="M63">SUMPRODUCT( (Begroting!$B$71:$B$85=$E63) * (Begroting!$Q$71:$Q$85) )*'Mijlpaal Berekening'!F63</f>
        <v>0</v>
      </c>
      <c r="N63" s="766" cm="1">
        <f t="array" ref="N63">SUMPRODUCT( (Begroting!$B$71:$B$85=$E63) * (Begroting!$Q$71:$Q$85) )*'Mijlpaal Berekening'!G63</f>
        <v>0</v>
      </c>
      <c r="O63" s="766" cm="1">
        <f t="array" ref="O63">SUMPRODUCT( (Begroting!$B$71:$B$85=$E63) * (Begroting!$Q$71:$Q$85) )*'Mijlpaal Berekening'!H63</f>
        <v>0</v>
      </c>
      <c r="P63" s="766" cm="1">
        <f t="array" ref="P63">SUMPRODUCT( (Begroting!$B$71:$B$85=$E63) * (Begroting!$Q$71:$Q$85) )*'Mijlpaal Berekening'!I63</f>
        <v>0</v>
      </c>
      <c r="Q63" s="769" cm="1">
        <f t="array" ref="Q63">SUMPRODUCT( (Begroting!$B$71:$B$85=$E63) * (Begroting!$Q$71:$Q$85) )*'Mijlpaal Berekening'!J63</f>
        <v>0</v>
      </c>
      <c r="R63" s="766"/>
      <c r="S63" s="766"/>
      <c r="T63" s="764"/>
      <c r="U63" s="764"/>
      <c r="V63" s="764"/>
      <c r="W63" s="764"/>
      <c r="X63" s="764"/>
      <c r="Y63" s="764"/>
      <c r="Z63" s="764"/>
      <c r="AA63" s="764"/>
      <c r="AB63" s="764"/>
      <c r="AC63" s="764"/>
      <c r="AD63" s="764"/>
      <c r="AE63" s="764"/>
      <c r="AF63" s="764"/>
      <c r="AG63" s="764"/>
      <c r="AH63" s="764"/>
      <c r="AI63" s="764"/>
      <c r="AJ63" s="764"/>
      <c r="AK63" s="764"/>
      <c r="AL63" s="764"/>
      <c r="AM63" s="764"/>
      <c r="AN63" s="764"/>
    </row>
    <row r="64" spans="1:41" hidden="1" outlineLevel="1" x14ac:dyDescent="0.25">
      <c r="B64" s="775"/>
      <c r="E64" s="767">
        <v>14</v>
      </c>
      <c r="F64" s="764"/>
      <c r="G64" s="757"/>
      <c r="J64" s="768" cm="1">
        <f t="array" ref="J64">SUMPRODUCT( (Begroting!$B$71:$B$85=$E64) * (Begroting!$Q$71:$Q$85) )*'Mijlpaal Berekening'!C64</f>
        <v>0</v>
      </c>
      <c r="K64" s="766" cm="1">
        <f t="array" ref="K64">SUMPRODUCT( (Begroting!$B$71:$B$85=$E64) * (Begroting!$Q$71:$Q$85) )*'Mijlpaal Berekening'!D64</f>
        <v>0</v>
      </c>
      <c r="L64" s="766" cm="1">
        <f t="array" ref="L64">SUMPRODUCT( (Begroting!$B$71:$B$85=$E64) * (Begroting!$Q$71:$Q$85) )*'Mijlpaal Berekening'!E64</f>
        <v>0</v>
      </c>
      <c r="M64" s="766" cm="1">
        <f t="array" ref="M64">SUMPRODUCT( (Begroting!$B$71:$B$85=$E64) * (Begroting!$Q$71:$Q$85) )*'Mijlpaal Berekening'!F64</f>
        <v>0</v>
      </c>
      <c r="N64" s="766" cm="1">
        <f t="array" ref="N64">SUMPRODUCT( (Begroting!$B$71:$B$85=$E64) * (Begroting!$Q$71:$Q$85) )*'Mijlpaal Berekening'!G64</f>
        <v>0</v>
      </c>
      <c r="O64" s="766" cm="1">
        <f t="array" ref="O64">SUMPRODUCT( (Begroting!$B$71:$B$85=$E64) * (Begroting!$Q$71:$Q$85) )*'Mijlpaal Berekening'!H64</f>
        <v>0</v>
      </c>
      <c r="P64" s="766" cm="1">
        <f t="array" ref="P64">SUMPRODUCT( (Begroting!$B$71:$B$85=$E64) * (Begroting!$Q$71:$Q$85) )*'Mijlpaal Berekening'!I64</f>
        <v>0</v>
      </c>
      <c r="Q64" s="769" cm="1">
        <f t="array" ref="Q64">SUMPRODUCT( (Begroting!$B$71:$B$85=$E64) * (Begroting!$Q$71:$Q$85) )*'Mijlpaal Berekening'!J64</f>
        <v>0</v>
      </c>
      <c r="R64" s="766"/>
      <c r="S64" s="766"/>
      <c r="T64" s="764"/>
      <c r="U64" s="764"/>
      <c r="V64" s="764"/>
      <c r="W64" s="764"/>
      <c r="X64" s="764"/>
      <c r="Y64" s="764"/>
      <c r="Z64" s="764"/>
      <c r="AA64" s="764"/>
      <c r="AB64" s="764"/>
      <c r="AC64" s="764"/>
      <c r="AD64" s="764"/>
      <c r="AE64" s="764"/>
      <c r="AF64" s="764"/>
      <c r="AG64" s="764"/>
      <c r="AH64" s="764"/>
      <c r="AI64" s="764"/>
      <c r="AJ64" s="764"/>
      <c r="AK64" s="764"/>
      <c r="AL64" s="764"/>
      <c r="AM64" s="764"/>
      <c r="AN64" s="764"/>
    </row>
    <row r="65" spans="1:41" hidden="1" outlineLevel="1" x14ac:dyDescent="0.25">
      <c r="B65" s="775"/>
      <c r="E65" s="767">
        <v>15</v>
      </c>
      <c r="F65" s="764"/>
      <c r="G65" s="757"/>
      <c r="J65" s="768" cm="1">
        <f t="array" ref="J65">SUMPRODUCT( (Begroting!$B$71:$B$85=$E65) * (Begroting!$Q$71:$Q$85) )*'Mijlpaal Berekening'!C65</f>
        <v>0</v>
      </c>
      <c r="K65" s="766" cm="1">
        <f t="array" ref="K65">SUMPRODUCT( (Begroting!$B$71:$B$85=$E65) * (Begroting!$Q$71:$Q$85) )*'Mijlpaal Berekening'!D65</f>
        <v>0</v>
      </c>
      <c r="L65" s="766" cm="1">
        <f t="array" ref="L65">SUMPRODUCT( (Begroting!$B$71:$B$85=$E65) * (Begroting!$Q$71:$Q$85) )*'Mijlpaal Berekening'!E65</f>
        <v>0</v>
      </c>
      <c r="M65" s="766" cm="1">
        <f t="array" ref="M65">SUMPRODUCT( (Begroting!$B$71:$B$85=$E65) * (Begroting!$Q$71:$Q$85) )*'Mijlpaal Berekening'!F65</f>
        <v>0</v>
      </c>
      <c r="N65" s="766" cm="1">
        <f t="array" ref="N65">SUMPRODUCT( (Begroting!$B$71:$B$85=$E65) * (Begroting!$Q$71:$Q$85) )*'Mijlpaal Berekening'!G65</f>
        <v>0</v>
      </c>
      <c r="O65" s="766" cm="1">
        <f t="array" ref="O65">SUMPRODUCT( (Begroting!$B$71:$B$85=$E65) * (Begroting!$Q$71:$Q$85) )*'Mijlpaal Berekening'!H65</f>
        <v>0</v>
      </c>
      <c r="P65" s="766" cm="1">
        <f t="array" ref="P65">SUMPRODUCT( (Begroting!$B$71:$B$85=$E65) * (Begroting!$Q$71:$Q$85) )*'Mijlpaal Berekening'!I65</f>
        <v>0</v>
      </c>
      <c r="Q65" s="769" cm="1">
        <f t="array" ref="Q65">SUMPRODUCT( (Begroting!$B$71:$B$85=$E65) * (Begroting!$Q$71:$Q$85) )*'Mijlpaal Berekening'!J65</f>
        <v>0</v>
      </c>
      <c r="R65" s="766"/>
      <c r="S65" s="766"/>
      <c r="T65" s="764"/>
      <c r="U65" s="764"/>
      <c r="V65" s="764"/>
      <c r="W65" s="764"/>
      <c r="X65" s="764"/>
      <c r="Y65" s="764"/>
      <c r="Z65" s="764"/>
      <c r="AA65" s="764"/>
      <c r="AB65" s="764"/>
      <c r="AC65" s="764"/>
      <c r="AD65" s="764"/>
      <c r="AE65" s="764"/>
      <c r="AF65" s="764"/>
      <c r="AG65" s="764"/>
      <c r="AH65" s="764"/>
      <c r="AI65" s="764"/>
      <c r="AJ65" s="764"/>
      <c r="AK65" s="764"/>
      <c r="AL65" s="764"/>
      <c r="AM65" s="764"/>
      <c r="AN65" s="764"/>
    </row>
    <row r="66" spans="1:41" collapsed="1" x14ac:dyDescent="0.25">
      <c r="B66" s="775"/>
      <c r="E66" s="778" t="s">
        <v>538</v>
      </c>
      <c r="F66" s="766">
        <f>SUM(J66:AN66)</f>
        <v>0</v>
      </c>
      <c r="G66" s="762" t="s">
        <v>534</v>
      </c>
      <c r="J66" s="768">
        <f>SUM(J51:J65)*J$9</f>
        <v>0</v>
      </c>
      <c r="K66" s="766">
        <f t="shared" ref="K66:AN66" si="2">SUM(K51:K65)*K$9</f>
        <v>0</v>
      </c>
      <c r="L66" s="766">
        <f t="shared" si="2"/>
        <v>0</v>
      </c>
      <c r="M66" s="766">
        <f t="shared" si="2"/>
        <v>0</v>
      </c>
      <c r="N66" s="766">
        <f t="shared" si="2"/>
        <v>0</v>
      </c>
      <c r="O66" s="766">
        <f t="shared" si="2"/>
        <v>0</v>
      </c>
      <c r="P66" s="766">
        <f t="shared" si="2"/>
        <v>0</v>
      </c>
      <c r="Q66" s="769">
        <f t="shared" si="2"/>
        <v>0</v>
      </c>
      <c r="R66" s="766">
        <f t="shared" si="2"/>
        <v>0</v>
      </c>
      <c r="S66" s="766">
        <f t="shared" si="2"/>
        <v>0</v>
      </c>
      <c r="T66" s="766">
        <f t="shared" si="2"/>
        <v>0</v>
      </c>
      <c r="U66" s="766">
        <f t="shared" si="2"/>
        <v>0</v>
      </c>
      <c r="V66" s="766">
        <f t="shared" si="2"/>
        <v>0</v>
      </c>
      <c r="W66" s="766">
        <f t="shared" si="2"/>
        <v>0</v>
      </c>
      <c r="X66" s="766">
        <f t="shared" si="2"/>
        <v>0</v>
      </c>
      <c r="Y66" s="766">
        <f t="shared" si="2"/>
        <v>0</v>
      </c>
      <c r="Z66" s="766">
        <f t="shared" si="2"/>
        <v>0</v>
      </c>
      <c r="AA66" s="766">
        <f t="shared" si="2"/>
        <v>0</v>
      </c>
      <c r="AB66" s="766">
        <f t="shared" si="2"/>
        <v>0</v>
      </c>
      <c r="AC66" s="766">
        <f t="shared" si="2"/>
        <v>0</v>
      </c>
      <c r="AD66" s="766">
        <f t="shared" si="2"/>
        <v>0</v>
      </c>
      <c r="AE66" s="766">
        <f t="shared" si="2"/>
        <v>0</v>
      </c>
      <c r="AF66" s="766">
        <f t="shared" si="2"/>
        <v>0</v>
      </c>
      <c r="AG66" s="766">
        <f t="shared" si="2"/>
        <v>0</v>
      </c>
      <c r="AH66" s="766">
        <f t="shared" si="2"/>
        <v>0</v>
      </c>
      <c r="AI66" s="766">
        <f t="shared" si="2"/>
        <v>0</v>
      </c>
      <c r="AJ66" s="766">
        <f t="shared" si="2"/>
        <v>0</v>
      </c>
      <c r="AK66" s="766">
        <f t="shared" si="2"/>
        <v>0</v>
      </c>
      <c r="AL66" s="766">
        <f t="shared" si="2"/>
        <v>0</v>
      </c>
      <c r="AM66" s="766">
        <f t="shared" si="2"/>
        <v>0</v>
      </c>
      <c r="AN66" s="766">
        <f t="shared" si="2"/>
        <v>0</v>
      </c>
    </row>
    <row r="67" spans="1:41" s="762" customFormat="1" x14ac:dyDescent="0.25">
      <c r="A67" s="773"/>
      <c r="E67" s="778"/>
      <c r="F67" s="778"/>
      <c r="G67" s="778"/>
      <c r="H67" s="770"/>
      <c r="I67" s="778"/>
      <c r="J67" s="771"/>
      <c r="K67" s="770"/>
      <c r="L67" s="770"/>
      <c r="M67" s="770"/>
      <c r="N67" s="770"/>
      <c r="O67" s="770"/>
      <c r="P67" s="770"/>
      <c r="Q67" s="772"/>
      <c r="R67" s="770"/>
      <c r="S67" s="770"/>
      <c r="T67" s="770"/>
      <c r="U67" s="770"/>
      <c r="V67" s="770"/>
      <c r="W67" s="770"/>
      <c r="X67" s="770"/>
      <c r="Y67" s="770"/>
      <c r="Z67" s="770"/>
      <c r="AA67" s="770"/>
      <c r="AB67" s="770"/>
      <c r="AC67" s="770"/>
      <c r="AD67" s="770"/>
      <c r="AE67" s="770"/>
      <c r="AF67" s="770"/>
      <c r="AG67" s="770"/>
      <c r="AH67" s="770"/>
      <c r="AI67" s="770"/>
      <c r="AJ67" s="770"/>
      <c r="AK67" s="770"/>
      <c r="AL67" s="770"/>
      <c r="AM67" s="770"/>
      <c r="AN67" s="770"/>
      <c r="AO67" s="731"/>
    </row>
    <row r="68" spans="1:41" x14ac:dyDescent="0.25">
      <c r="B68" s="775"/>
      <c r="E68" s="764" t="str">
        <f>'ORT aansluitingen'!C54</f>
        <v>Aantal aansluitingen grondgebonden woningen (huur plus particulier)</v>
      </c>
      <c r="F68" s="764">
        <f>SUM(J68:AN68)</f>
        <v>0</v>
      </c>
      <c r="G68" s="764" t="s">
        <v>510</v>
      </c>
      <c r="J68" s="776">
        <f>'ORT aansluitingen'!U54</f>
        <v>0</v>
      </c>
      <c r="K68" s="764">
        <f>'ORT aansluitingen'!V54</f>
        <v>0</v>
      </c>
      <c r="L68" s="764">
        <f>'ORT aansluitingen'!W54</f>
        <v>0</v>
      </c>
      <c r="M68" s="764">
        <f>'ORT aansluitingen'!X54</f>
        <v>0</v>
      </c>
      <c r="N68" s="764">
        <f>'ORT aansluitingen'!Y54</f>
        <v>0</v>
      </c>
      <c r="O68" s="764">
        <f>'ORT aansluitingen'!Z54</f>
        <v>0</v>
      </c>
      <c r="P68" s="764">
        <f>'ORT aansluitingen'!AA54</f>
        <v>0</v>
      </c>
      <c r="Q68" s="777">
        <f>'ORT aansluitingen'!AB54</f>
        <v>0</v>
      </c>
      <c r="R68" s="764">
        <f>'ORT aansluitingen'!AC54</f>
        <v>0</v>
      </c>
      <c r="S68" s="764">
        <f>'ORT aansluitingen'!AD54</f>
        <v>0</v>
      </c>
      <c r="T68" s="764">
        <f>'ORT aansluitingen'!AE54</f>
        <v>0</v>
      </c>
      <c r="U68" s="764">
        <f>'ORT aansluitingen'!AF54</f>
        <v>0</v>
      </c>
      <c r="V68" s="764">
        <f>'ORT aansluitingen'!AG54</f>
        <v>0</v>
      </c>
      <c r="W68" s="764">
        <f>'ORT aansluitingen'!AH54</f>
        <v>0</v>
      </c>
      <c r="X68" s="764">
        <f>'ORT aansluitingen'!AI54</f>
        <v>0</v>
      </c>
      <c r="Y68" s="764">
        <f>'ORT aansluitingen'!AJ54</f>
        <v>0</v>
      </c>
      <c r="Z68" s="764">
        <f>'ORT aansluitingen'!AK54</f>
        <v>0</v>
      </c>
      <c r="AA68" s="764">
        <f>'ORT aansluitingen'!AL54</f>
        <v>0</v>
      </c>
      <c r="AB68" s="764">
        <f>'ORT aansluitingen'!AM54</f>
        <v>0</v>
      </c>
      <c r="AC68" s="764">
        <f>'ORT aansluitingen'!AN54</f>
        <v>0</v>
      </c>
      <c r="AD68" s="764">
        <f>'ORT aansluitingen'!AO54</f>
        <v>0</v>
      </c>
      <c r="AE68" s="764">
        <f>'ORT aansluitingen'!AP54</f>
        <v>0</v>
      </c>
      <c r="AF68" s="764">
        <f>'ORT aansluitingen'!AQ54</f>
        <v>0</v>
      </c>
      <c r="AG68" s="764">
        <f>'ORT aansluitingen'!AR54</f>
        <v>0</v>
      </c>
      <c r="AH68" s="764">
        <f>'ORT aansluitingen'!AS54</f>
        <v>0</v>
      </c>
      <c r="AI68" s="764">
        <f>'ORT aansluitingen'!AT54</f>
        <v>0</v>
      </c>
      <c r="AJ68" s="764">
        <f>'ORT aansluitingen'!AU54</f>
        <v>0</v>
      </c>
      <c r="AK68" s="764">
        <f>'ORT aansluitingen'!AV54</f>
        <v>0</v>
      </c>
      <c r="AL68" s="764">
        <f>'ORT aansluitingen'!AW54</f>
        <v>0</v>
      </c>
      <c r="AM68" s="764">
        <f>'ORT aansluitingen'!AX54</f>
        <v>0</v>
      </c>
      <c r="AN68" s="764">
        <f>'ORT aansluitingen'!AY54</f>
        <v>0</v>
      </c>
    </row>
    <row r="69" spans="1:41" s="762" customFormat="1" x14ac:dyDescent="0.25">
      <c r="A69" s="773"/>
      <c r="E69" s="762" t="str">
        <f>Begroting!E145</f>
        <v>gewogen grondgebonden incl. overige</v>
      </c>
      <c r="F69" s="731">
        <f>Begroting!F145</f>
        <v>0</v>
      </c>
      <c r="G69" s="762" t="s">
        <v>539</v>
      </c>
      <c r="H69" s="770"/>
      <c r="I69" s="778"/>
      <c r="J69" s="771"/>
      <c r="K69" s="770"/>
      <c r="L69" s="770"/>
      <c r="M69" s="770"/>
      <c r="N69" s="770"/>
      <c r="O69" s="770"/>
      <c r="P69" s="770"/>
      <c r="Q69" s="772"/>
      <c r="R69" s="770"/>
      <c r="S69" s="770"/>
      <c r="T69" s="770"/>
      <c r="U69" s="770"/>
      <c r="V69" s="770"/>
      <c r="W69" s="770"/>
      <c r="X69" s="770"/>
      <c r="Y69" s="770"/>
      <c r="Z69" s="770"/>
      <c r="AA69" s="770"/>
      <c r="AB69" s="770"/>
      <c r="AC69" s="770"/>
      <c r="AD69" s="770"/>
      <c r="AE69" s="770"/>
      <c r="AF69" s="770"/>
      <c r="AG69" s="770"/>
      <c r="AH69" s="770"/>
      <c r="AI69" s="770"/>
      <c r="AJ69" s="770"/>
      <c r="AK69" s="770"/>
      <c r="AL69" s="770"/>
      <c r="AM69" s="770"/>
      <c r="AN69" s="770"/>
      <c r="AO69" s="731"/>
    </row>
    <row r="70" spans="1:41" s="762" customFormat="1" x14ac:dyDescent="0.25">
      <c r="A70" s="773"/>
      <c r="E70" s="778" t="s">
        <v>540</v>
      </c>
      <c r="F70" s="766">
        <f>SUM(J70:Q70)</f>
        <v>0</v>
      </c>
      <c r="G70" s="762" t="s">
        <v>534</v>
      </c>
      <c r="H70" s="770"/>
      <c r="I70" s="770"/>
      <c r="J70" s="771">
        <f t="shared" ref="J70:AN70" si="3">J9 * J68 * $F$69</f>
        <v>0</v>
      </c>
      <c r="K70" s="770">
        <f t="shared" si="3"/>
        <v>0</v>
      </c>
      <c r="L70" s="770">
        <f t="shared" si="3"/>
        <v>0</v>
      </c>
      <c r="M70" s="770">
        <f t="shared" si="3"/>
        <v>0</v>
      </c>
      <c r="N70" s="770">
        <f t="shared" si="3"/>
        <v>0</v>
      </c>
      <c r="O70" s="770">
        <f t="shared" si="3"/>
        <v>0</v>
      </c>
      <c r="P70" s="770">
        <f t="shared" si="3"/>
        <v>0</v>
      </c>
      <c r="Q70" s="772">
        <f t="shared" si="3"/>
        <v>0</v>
      </c>
      <c r="R70" s="770">
        <f t="shared" si="3"/>
        <v>0</v>
      </c>
      <c r="S70" s="770">
        <f t="shared" si="3"/>
        <v>0</v>
      </c>
      <c r="T70" s="770">
        <f t="shared" si="3"/>
        <v>0</v>
      </c>
      <c r="U70" s="770">
        <f t="shared" si="3"/>
        <v>0</v>
      </c>
      <c r="V70" s="770">
        <f t="shared" si="3"/>
        <v>0</v>
      </c>
      <c r="W70" s="770">
        <f t="shared" si="3"/>
        <v>0</v>
      </c>
      <c r="X70" s="770">
        <f t="shared" si="3"/>
        <v>0</v>
      </c>
      <c r="Y70" s="770">
        <f t="shared" si="3"/>
        <v>0</v>
      </c>
      <c r="Z70" s="770">
        <f t="shared" si="3"/>
        <v>0</v>
      </c>
      <c r="AA70" s="770">
        <f t="shared" si="3"/>
        <v>0</v>
      </c>
      <c r="AB70" s="770">
        <f t="shared" si="3"/>
        <v>0</v>
      </c>
      <c r="AC70" s="770">
        <f t="shared" si="3"/>
        <v>0</v>
      </c>
      <c r="AD70" s="770">
        <f t="shared" si="3"/>
        <v>0</v>
      </c>
      <c r="AE70" s="770">
        <f t="shared" si="3"/>
        <v>0</v>
      </c>
      <c r="AF70" s="770">
        <f t="shared" si="3"/>
        <v>0</v>
      </c>
      <c r="AG70" s="770">
        <f t="shared" si="3"/>
        <v>0</v>
      </c>
      <c r="AH70" s="770">
        <f t="shared" si="3"/>
        <v>0</v>
      </c>
      <c r="AI70" s="770">
        <f t="shared" si="3"/>
        <v>0</v>
      </c>
      <c r="AJ70" s="770">
        <f t="shared" si="3"/>
        <v>0</v>
      </c>
      <c r="AK70" s="770">
        <f t="shared" si="3"/>
        <v>0</v>
      </c>
      <c r="AL70" s="770">
        <f t="shared" si="3"/>
        <v>0</v>
      </c>
      <c r="AM70" s="770">
        <f t="shared" si="3"/>
        <v>0</v>
      </c>
      <c r="AN70" s="770">
        <f t="shared" si="3"/>
        <v>0</v>
      </c>
      <c r="AO70" s="731"/>
    </row>
    <row r="71" spans="1:41" x14ac:dyDescent="0.25">
      <c r="E71" s="779" t="s">
        <v>541</v>
      </c>
      <c r="F71" s="764">
        <f>SUM(J71:AN71)</f>
        <v>0</v>
      </c>
      <c r="G71" s="764" t="s">
        <v>510</v>
      </c>
      <c r="H71" s="770"/>
      <c r="I71" s="770"/>
      <c r="J71" s="776">
        <f>'ORT aansluitingen'!U54</f>
        <v>0</v>
      </c>
      <c r="K71" s="764">
        <f>'ORT aansluitingen'!V54</f>
        <v>0</v>
      </c>
      <c r="L71" s="764">
        <f>'ORT aansluitingen'!W54</f>
        <v>0</v>
      </c>
      <c r="M71" s="764">
        <f>'ORT aansluitingen'!X54</f>
        <v>0</v>
      </c>
      <c r="N71" s="764">
        <f>'ORT aansluitingen'!Y54</f>
        <v>0</v>
      </c>
      <c r="O71" s="764">
        <f>'ORT aansluitingen'!Z54</f>
        <v>0</v>
      </c>
      <c r="P71" s="764">
        <f>'ORT aansluitingen'!AA54</f>
        <v>0</v>
      </c>
      <c r="Q71" s="777">
        <f>'ORT aansluitingen'!AB54</f>
        <v>0</v>
      </c>
      <c r="R71" s="764">
        <f>'ORT aansluitingen'!AC54</f>
        <v>0</v>
      </c>
      <c r="S71" s="764">
        <f>'ORT aansluitingen'!AD54</f>
        <v>0</v>
      </c>
      <c r="T71" s="764">
        <f>'ORT aansluitingen'!AE54</f>
        <v>0</v>
      </c>
      <c r="U71" s="764">
        <f>'ORT aansluitingen'!AF54</f>
        <v>0</v>
      </c>
      <c r="V71" s="764">
        <f>'ORT aansluitingen'!AG54</f>
        <v>0</v>
      </c>
      <c r="W71" s="764">
        <f>'ORT aansluitingen'!AH54</f>
        <v>0</v>
      </c>
      <c r="X71" s="764">
        <f>'ORT aansluitingen'!AI54</f>
        <v>0</v>
      </c>
      <c r="Y71" s="764">
        <f>'ORT aansluitingen'!AJ54+'ORT aansluitingen'!U54</f>
        <v>0</v>
      </c>
      <c r="Z71" s="764">
        <f>'ORT aansluitingen'!AK54+'ORT aansluitingen'!V54</f>
        <v>0</v>
      </c>
      <c r="AA71" s="764">
        <f>'ORT aansluitingen'!AL54+'ORT aansluitingen'!W54</f>
        <v>0</v>
      </c>
      <c r="AB71" s="764">
        <f>'ORT aansluitingen'!AM54+'ORT aansluitingen'!X54</f>
        <v>0</v>
      </c>
      <c r="AC71" s="764">
        <f>'ORT aansluitingen'!AN54+'ORT aansluitingen'!Y54</f>
        <v>0</v>
      </c>
      <c r="AD71" s="764">
        <f>'ORT aansluitingen'!AO54+'ORT aansluitingen'!Z54</f>
        <v>0</v>
      </c>
      <c r="AE71" s="764">
        <f>'ORT aansluitingen'!AP54+'ORT aansluitingen'!AA54</f>
        <v>0</v>
      </c>
      <c r="AF71" s="764">
        <f>'ORT aansluitingen'!AQ54+'ORT aansluitingen'!AB54</f>
        <v>0</v>
      </c>
      <c r="AG71" s="764">
        <f>'ORT aansluitingen'!AR54+'ORT aansluitingen'!AC54</f>
        <v>0</v>
      </c>
      <c r="AH71" s="764">
        <f>'ORT aansluitingen'!AS54+'ORT aansluitingen'!AD54</f>
        <v>0</v>
      </c>
      <c r="AI71" s="764">
        <f>'ORT aansluitingen'!AT54+'ORT aansluitingen'!AE54</f>
        <v>0</v>
      </c>
      <c r="AJ71" s="764">
        <f>'ORT aansluitingen'!AU54+'ORT aansluitingen'!AF54</f>
        <v>0</v>
      </c>
      <c r="AK71" s="764">
        <f>'ORT aansluitingen'!AV54+'ORT aansluitingen'!AG54</f>
        <v>0</v>
      </c>
      <c r="AL71" s="764">
        <f>'ORT aansluitingen'!AW54+'ORT aansluitingen'!AH54</f>
        <v>0</v>
      </c>
      <c r="AM71" s="764">
        <f>'ORT aansluitingen'!AX54+'ORT aansluitingen'!AI54</f>
        <v>0</v>
      </c>
      <c r="AN71" s="764">
        <f>'ORT aansluitingen'!AY54+'ORT aansluitingen'!AJ54</f>
        <v>0</v>
      </c>
    </row>
    <row r="72" spans="1:41" s="764" customFormat="1" x14ac:dyDescent="0.25">
      <c r="A72" s="780"/>
      <c r="E72" s="761" t="str">
        <f>Begroting!F147</f>
        <v>gewogen gemiddelde kosten afleversets</v>
      </c>
      <c r="F72" s="774">
        <f>Begroting!G147</f>
        <v>0</v>
      </c>
      <c r="G72" s="774" t="s">
        <v>542</v>
      </c>
      <c r="J72" s="776"/>
      <c r="Q72" s="777"/>
    </row>
    <row r="73" spans="1:41" s="773" customFormat="1" x14ac:dyDescent="0.25">
      <c r="E73" s="781" t="s">
        <v>543</v>
      </c>
      <c r="F73" s="766">
        <f>SUM(J73:Q73)</f>
        <v>0</v>
      </c>
      <c r="G73" s="762" t="s">
        <v>534</v>
      </c>
      <c r="H73" s="782"/>
      <c r="I73" s="782"/>
      <c r="J73" s="783">
        <f t="shared" ref="J73:X73" si="4">J9 * J68 * $F$72</f>
        <v>0</v>
      </c>
      <c r="K73" s="782">
        <f t="shared" si="4"/>
        <v>0</v>
      </c>
      <c r="L73" s="782">
        <f t="shared" si="4"/>
        <v>0</v>
      </c>
      <c r="M73" s="782">
        <f t="shared" si="4"/>
        <v>0</v>
      </c>
      <c r="N73" s="782">
        <f t="shared" si="4"/>
        <v>0</v>
      </c>
      <c r="O73" s="782">
        <f t="shared" si="4"/>
        <v>0</v>
      </c>
      <c r="P73" s="782">
        <f t="shared" si="4"/>
        <v>0</v>
      </c>
      <c r="Q73" s="784">
        <f t="shared" si="4"/>
        <v>0</v>
      </c>
      <c r="R73" s="782">
        <f t="shared" si="4"/>
        <v>0</v>
      </c>
      <c r="S73" s="782">
        <f t="shared" si="4"/>
        <v>0</v>
      </c>
      <c r="T73" s="782">
        <f t="shared" si="4"/>
        <v>0</v>
      </c>
      <c r="U73" s="782">
        <f t="shared" si="4"/>
        <v>0</v>
      </c>
      <c r="V73" s="782">
        <f t="shared" si="4"/>
        <v>0</v>
      </c>
      <c r="W73" s="782">
        <f t="shared" si="4"/>
        <v>0</v>
      </c>
      <c r="X73" s="782">
        <f t="shared" si="4"/>
        <v>0</v>
      </c>
      <c r="Y73" s="782">
        <f t="shared" ref="Y73:AN73" si="5">(Y8-J8+1) * Y71 * $F$72</f>
        <v>0</v>
      </c>
      <c r="Z73" s="782">
        <f t="shared" si="5"/>
        <v>0</v>
      </c>
      <c r="AA73" s="782">
        <f t="shared" si="5"/>
        <v>0</v>
      </c>
      <c r="AB73" s="782">
        <f t="shared" si="5"/>
        <v>0</v>
      </c>
      <c r="AC73" s="782">
        <f t="shared" si="5"/>
        <v>0</v>
      </c>
      <c r="AD73" s="782">
        <f t="shared" si="5"/>
        <v>0</v>
      </c>
      <c r="AE73" s="782">
        <f t="shared" si="5"/>
        <v>0</v>
      </c>
      <c r="AF73" s="782">
        <f t="shared" si="5"/>
        <v>0</v>
      </c>
      <c r="AG73" s="782">
        <f t="shared" si="5"/>
        <v>0</v>
      </c>
      <c r="AH73" s="782">
        <f t="shared" si="5"/>
        <v>0</v>
      </c>
      <c r="AI73" s="782">
        <f t="shared" si="5"/>
        <v>0</v>
      </c>
      <c r="AJ73" s="782">
        <f t="shared" si="5"/>
        <v>0</v>
      </c>
      <c r="AK73" s="782">
        <f t="shared" si="5"/>
        <v>0</v>
      </c>
      <c r="AL73" s="782">
        <f t="shared" si="5"/>
        <v>0</v>
      </c>
      <c r="AM73" s="782">
        <f t="shared" si="5"/>
        <v>0</v>
      </c>
      <c r="AN73" s="782">
        <f t="shared" si="5"/>
        <v>0</v>
      </c>
      <c r="AO73" s="761"/>
    </row>
    <row r="74" spans="1:41" s="763" customFormat="1" x14ac:dyDescent="0.25">
      <c r="A74" s="779"/>
      <c r="H74" s="774"/>
      <c r="I74" s="774"/>
      <c r="J74" s="785"/>
      <c r="K74" s="774"/>
      <c r="L74" s="774"/>
      <c r="M74" s="774"/>
      <c r="N74" s="774"/>
      <c r="O74" s="774"/>
      <c r="P74" s="774"/>
      <c r="Q74" s="786"/>
      <c r="R74" s="774"/>
      <c r="S74" s="774"/>
      <c r="T74" s="774"/>
      <c r="U74" s="774"/>
      <c r="V74" s="774"/>
      <c r="W74" s="774"/>
      <c r="X74" s="774"/>
      <c r="Y74" s="774"/>
      <c r="Z74" s="774"/>
      <c r="AA74" s="774"/>
      <c r="AB74" s="774"/>
      <c r="AC74" s="774"/>
      <c r="AD74" s="774"/>
      <c r="AE74" s="774"/>
      <c r="AF74" s="774"/>
      <c r="AG74" s="774"/>
      <c r="AH74" s="774"/>
      <c r="AI74" s="774"/>
      <c r="AJ74" s="774"/>
      <c r="AK74" s="774"/>
      <c r="AL74" s="774"/>
      <c r="AM74" s="774"/>
      <c r="AN74" s="774"/>
      <c r="AO74" s="774"/>
    </row>
    <row r="75" spans="1:41" x14ac:dyDescent="0.25">
      <c r="B75" s="775"/>
      <c r="E75" s="764" t="str">
        <f>'ORT aansluitingen'!C58</f>
        <v>Aantal aansluitingen gestapeld (vanaf kolom U)</v>
      </c>
      <c r="F75" s="764">
        <f>SUM(J75:AN75)</f>
        <v>0</v>
      </c>
      <c r="G75" s="764" t="s">
        <v>510</v>
      </c>
      <c r="J75" s="776">
        <f>'ORT aansluitingen'!U58</f>
        <v>0</v>
      </c>
      <c r="K75" s="764">
        <f>'ORT aansluitingen'!V58</f>
        <v>0</v>
      </c>
      <c r="L75" s="764">
        <f>'ORT aansluitingen'!W58</f>
        <v>0</v>
      </c>
      <c r="M75" s="764">
        <f>'ORT aansluitingen'!X58</f>
        <v>0</v>
      </c>
      <c r="N75" s="764">
        <f>'ORT aansluitingen'!Y58</f>
        <v>0</v>
      </c>
      <c r="O75" s="764">
        <f>'ORT aansluitingen'!Z58</f>
        <v>0</v>
      </c>
      <c r="P75" s="764">
        <f>'ORT aansluitingen'!AA58</f>
        <v>0</v>
      </c>
      <c r="Q75" s="777">
        <f>'ORT aansluitingen'!AB58</f>
        <v>0</v>
      </c>
      <c r="R75" s="764">
        <f>'ORT aansluitingen'!AC58</f>
        <v>0</v>
      </c>
      <c r="S75" s="764">
        <f>'ORT aansluitingen'!AD58</f>
        <v>0</v>
      </c>
      <c r="T75" s="764">
        <f>'ORT aansluitingen'!AE58</f>
        <v>0</v>
      </c>
      <c r="U75" s="764">
        <f>'ORT aansluitingen'!AF58</f>
        <v>0</v>
      </c>
      <c r="V75" s="764">
        <f>'ORT aansluitingen'!AG58</f>
        <v>0</v>
      </c>
      <c r="W75" s="764">
        <f>'ORT aansluitingen'!AH58</f>
        <v>0</v>
      </c>
      <c r="X75" s="764">
        <f>'ORT aansluitingen'!AI58</f>
        <v>0</v>
      </c>
      <c r="Y75" s="764">
        <f>'ORT aansluitingen'!AJ58</f>
        <v>0</v>
      </c>
      <c r="Z75" s="764">
        <f>'ORT aansluitingen'!AK58</f>
        <v>0</v>
      </c>
      <c r="AA75" s="764">
        <f>'ORT aansluitingen'!AL58</f>
        <v>0</v>
      </c>
      <c r="AB75" s="764">
        <f>'ORT aansluitingen'!AM58</f>
        <v>0</v>
      </c>
      <c r="AC75" s="764">
        <f>'ORT aansluitingen'!AN58</f>
        <v>0</v>
      </c>
      <c r="AD75" s="764">
        <f>'ORT aansluitingen'!AO58</f>
        <v>0</v>
      </c>
      <c r="AE75" s="764">
        <f>'ORT aansluitingen'!AP58</f>
        <v>0</v>
      </c>
      <c r="AF75" s="764">
        <f>'ORT aansluitingen'!AQ58</f>
        <v>0</v>
      </c>
      <c r="AG75" s="764">
        <f>'ORT aansluitingen'!AR58</f>
        <v>0</v>
      </c>
      <c r="AH75" s="764">
        <f>'ORT aansluitingen'!AS58</f>
        <v>0</v>
      </c>
      <c r="AI75" s="764">
        <f>'ORT aansluitingen'!AT58</f>
        <v>0</v>
      </c>
      <c r="AJ75" s="764">
        <f>'ORT aansluitingen'!AU58</f>
        <v>0</v>
      </c>
      <c r="AK75" s="764">
        <f>'ORT aansluitingen'!AV58</f>
        <v>0</v>
      </c>
      <c r="AL75" s="764">
        <f>'ORT aansluitingen'!AW58</f>
        <v>0</v>
      </c>
      <c r="AM75" s="764">
        <f>'ORT aansluitingen'!AX58</f>
        <v>0</v>
      </c>
      <c r="AN75" s="764">
        <f>'ORT aansluitingen'!AY58</f>
        <v>0</v>
      </c>
    </row>
    <row r="76" spans="1:41" s="726" customFormat="1" x14ac:dyDescent="0.25">
      <c r="A76" s="725"/>
      <c r="E76" s="726" t="str">
        <f>Begroting!E146</f>
        <v>gewogen gestapeld</v>
      </c>
      <c r="F76" s="726">
        <f>Begroting!F146</f>
        <v>0</v>
      </c>
      <c r="G76" s="726" t="s">
        <v>542</v>
      </c>
      <c r="J76" s="734"/>
      <c r="Q76" s="735"/>
    </row>
    <row r="77" spans="1:41" s="762" customFormat="1" x14ac:dyDescent="0.25">
      <c r="A77" s="773"/>
      <c r="E77" s="778" t="s">
        <v>544</v>
      </c>
      <c r="F77" s="766">
        <f>SUM(J77:Q77)</f>
        <v>0</v>
      </c>
      <c r="G77" s="762" t="s">
        <v>534</v>
      </c>
      <c r="H77" s="770"/>
      <c r="I77" s="770"/>
      <c r="J77" s="771">
        <f t="shared" ref="J77:AN77" si="6">J9 * J75 * $F$76</f>
        <v>0</v>
      </c>
      <c r="K77" s="770">
        <f t="shared" si="6"/>
        <v>0</v>
      </c>
      <c r="L77" s="770">
        <f t="shared" si="6"/>
        <v>0</v>
      </c>
      <c r="M77" s="770">
        <f t="shared" si="6"/>
        <v>0</v>
      </c>
      <c r="N77" s="770">
        <f t="shared" si="6"/>
        <v>0</v>
      </c>
      <c r="O77" s="770">
        <f t="shared" si="6"/>
        <v>0</v>
      </c>
      <c r="P77" s="770">
        <f t="shared" si="6"/>
        <v>0</v>
      </c>
      <c r="Q77" s="772">
        <f t="shared" si="6"/>
        <v>0</v>
      </c>
      <c r="R77" s="770">
        <f t="shared" si="6"/>
        <v>0</v>
      </c>
      <c r="S77" s="770">
        <f t="shared" si="6"/>
        <v>0</v>
      </c>
      <c r="T77" s="770">
        <f t="shared" si="6"/>
        <v>0</v>
      </c>
      <c r="U77" s="770">
        <f t="shared" si="6"/>
        <v>0</v>
      </c>
      <c r="V77" s="770">
        <f t="shared" si="6"/>
        <v>0</v>
      </c>
      <c r="W77" s="770">
        <f t="shared" si="6"/>
        <v>0</v>
      </c>
      <c r="X77" s="770">
        <f t="shared" si="6"/>
        <v>0</v>
      </c>
      <c r="Y77" s="770">
        <f t="shared" si="6"/>
        <v>0</v>
      </c>
      <c r="Z77" s="770">
        <f t="shared" si="6"/>
        <v>0</v>
      </c>
      <c r="AA77" s="770">
        <f t="shared" si="6"/>
        <v>0</v>
      </c>
      <c r="AB77" s="770">
        <f t="shared" si="6"/>
        <v>0</v>
      </c>
      <c r="AC77" s="770">
        <f t="shared" si="6"/>
        <v>0</v>
      </c>
      <c r="AD77" s="770">
        <f t="shared" si="6"/>
        <v>0</v>
      </c>
      <c r="AE77" s="770">
        <f t="shared" si="6"/>
        <v>0</v>
      </c>
      <c r="AF77" s="770">
        <f t="shared" si="6"/>
        <v>0</v>
      </c>
      <c r="AG77" s="770">
        <f t="shared" si="6"/>
        <v>0</v>
      </c>
      <c r="AH77" s="770">
        <f t="shared" si="6"/>
        <v>0</v>
      </c>
      <c r="AI77" s="770">
        <f t="shared" si="6"/>
        <v>0</v>
      </c>
      <c r="AJ77" s="770">
        <f t="shared" si="6"/>
        <v>0</v>
      </c>
      <c r="AK77" s="770">
        <f t="shared" si="6"/>
        <v>0</v>
      </c>
      <c r="AL77" s="770">
        <f t="shared" si="6"/>
        <v>0</v>
      </c>
      <c r="AM77" s="770">
        <f t="shared" si="6"/>
        <v>0</v>
      </c>
      <c r="AN77" s="770">
        <f t="shared" si="6"/>
        <v>0</v>
      </c>
      <c r="AO77" s="731"/>
    </row>
    <row r="78" spans="1:41" x14ac:dyDescent="0.25">
      <c r="E78" s="779" t="s">
        <v>545</v>
      </c>
      <c r="F78" s="764">
        <f>SUM(J78:AN78)</f>
        <v>0</v>
      </c>
      <c r="G78" s="764" t="s">
        <v>510</v>
      </c>
      <c r="H78" s="770"/>
      <c r="I78" s="770"/>
      <c r="J78" s="776">
        <f>'ORT aansluitingen'!U58</f>
        <v>0</v>
      </c>
      <c r="K78" s="764">
        <f>'ORT aansluitingen'!V58</f>
        <v>0</v>
      </c>
      <c r="L78" s="764">
        <f>'ORT aansluitingen'!W58</f>
        <v>0</v>
      </c>
      <c r="M78" s="764">
        <f>'ORT aansluitingen'!X58</f>
        <v>0</v>
      </c>
      <c r="N78" s="764">
        <f>'ORT aansluitingen'!Y58</f>
        <v>0</v>
      </c>
      <c r="O78" s="764">
        <f>'ORT aansluitingen'!Z58</f>
        <v>0</v>
      </c>
      <c r="P78" s="764">
        <f>'ORT aansluitingen'!AA58</f>
        <v>0</v>
      </c>
      <c r="Q78" s="777">
        <f>'ORT aansluitingen'!AB58</f>
        <v>0</v>
      </c>
      <c r="R78" s="764">
        <f>'ORT aansluitingen'!AC58</f>
        <v>0</v>
      </c>
      <c r="S78" s="764">
        <f>'ORT aansluitingen'!AD58</f>
        <v>0</v>
      </c>
      <c r="T78" s="764">
        <f>'ORT aansluitingen'!AE58</f>
        <v>0</v>
      </c>
      <c r="U78" s="764">
        <f>'ORT aansluitingen'!AF58</f>
        <v>0</v>
      </c>
      <c r="V78" s="764">
        <f>'ORT aansluitingen'!AG58</f>
        <v>0</v>
      </c>
      <c r="W78" s="764">
        <f>'ORT aansluitingen'!AH58</f>
        <v>0</v>
      </c>
      <c r="X78" s="764">
        <f>'ORT aansluitingen'!AI58</f>
        <v>0</v>
      </c>
      <c r="Y78" s="764">
        <f>'ORT aansluitingen'!AJ58+'ORT aansluitingen'!U58</f>
        <v>0</v>
      </c>
      <c r="Z78" s="764">
        <f>'ORT aansluitingen'!AK58+'ORT aansluitingen'!V58</f>
        <v>0</v>
      </c>
      <c r="AA78" s="764">
        <f>'ORT aansluitingen'!AL58+'ORT aansluitingen'!W58</f>
        <v>0</v>
      </c>
      <c r="AB78" s="764">
        <f>'ORT aansluitingen'!AM58+'ORT aansluitingen'!X58</f>
        <v>0</v>
      </c>
      <c r="AC78" s="764">
        <f>'ORT aansluitingen'!AN58+'ORT aansluitingen'!Y58</f>
        <v>0</v>
      </c>
      <c r="AD78" s="764">
        <f>'ORT aansluitingen'!AO58+'ORT aansluitingen'!Z58</f>
        <v>0</v>
      </c>
      <c r="AE78" s="764">
        <f>'ORT aansluitingen'!AP58+'ORT aansluitingen'!AA58</f>
        <v>0</v>
      </c>
      <c r="AF78" s="764">
        <f>'ORT aansluitingen'!AQ58+'ORT aansluitingen'!AB58</f>
        <v>0</v>
      </c>
      <c r="AG78" s="764">
        <f>'ORT aansluitingen'!AR58+'ORT aansluitingen'!AC58</f>
        <v>0</v>
      </c>
      <c r="AH78" s="764">
        <f>'ORT aansluitingen'!AS58+'ORT aansluitingen'!AD58</f>
        <v>0</v>
      </c>
      <c r="AI78" s="764">
        <f>'ORT aansluitingen'!AT58+'ORT aansluitingen'!AE58</f>
        <v>0</v>
      </c>
      <c r="AJ78" s="764">
        <f>'ORT aansluitingen'!AU58+'ORT aansluitingen'!AF58</f>
        <v>0</v>
      </c>
      <c r="AK78" s="764">
        <f>'ORT aansluitingen'!AV58+'ORT aansluitingen'!AG58</f>
        <v>0</v>
      </c>
      <c r="AL78" s="764">
        <f>'ORT aansluitingen'!AW58+'ORT aansluitingen'!AH58</f>
        <v>0</v>
      </c>
      <c r="AM78" s="764">
        <f>'ORT aansluitingen'!AX58+'ORT aansluitingen'!AI58</f>
        <v>0</v>
      </c>
      <c r="AN78" s="764">
        <f>'ORT aansluitingen'!AY58+'ORT aansluitingen'!AJ58</f>
        <v>0</v>
      </c>
    </row>
    <row r="79" spans="1:41" s="764" customFormat="1" x14ac:dyDescent="0.25">
      <c r="A79" s="780"/>
      <c r="E79" s="761" t="str">
        <f>Begroting!F147</f>
        <v>gewogen gemiddelde kosten afleversets</v>
      </c>
      <c r="F79" s="774">
        <f>Begroting!G147</f>
        <v>0</v>
      </c>
      <c r="G79" s="762" t="s">
        <v>539</v>
      </c>
      <c r="J79" s="776"/>
      <c r="Q79" s="777"/>
    </row>
    <row r="80" spans="1:41" s="773" customFormat="1" x14ac:dyDescent="0.25">
      <c r="E80" s="781" t="s">
        <v>546</v>
      </c>
      <c r="F80" s="766">
        <f>SUM(J80:Q80)</f>
        <v>0</v>
      </c>
      <c r="G80" s="762" t="s">
        <v>534</v>
      </c>
      <c r="H80" s="782"/>
      <c r="I80" s="782"/>
      <c r="J80" s="783">
        <f t="shared" ref="J80:X80" si="7">J9 * J78 * $F$79</f>
        <v>0</v>
      </c>
      <c r="K80" s="782">
        <f t="shared" si="7"/>
        <v>0</v>
      </c>
      <c r="L80" s="782">
        <f t="shared" si="7"/>
        <v>0</v>
      </c>
      <c r="M80" s="782">
        <f>M9 * M78 * $F$79</f>
        <v>0</v>
      </c>
      <c r="N80" s="782">
        <f t="shared" si="7"/>
        <v>0</v>
      </c>
      <c r="O80" s="782">
        <f t="shared" si="7"/>
        <v>0</v>
      </c>
      <c r="P80" s="782">
        <f t="shared" si="7"/>
        <v>0</v>
      </c>
      <c r="Q80" s="784">
        <f t="shared" si="7"/>
        <v>0</v>
      </c>
      <c r="R80" s="782">
        <f t="shared" si="7"/>
        <v>0</v>
      </c>
      <c r="S80" s="782">
        <f t="shared" si="7"/>
        <v>0</v>
      </c>
      <c r="T80" s="782">
        <f t="shared" si="7"/>
        <v>0</v>
      </c>
      <c r="U80" s="782">
        <f t="shared" si="7"/>
        <v>0</v>
      </c>
      <c r="V80" s="782">
        <f t="shared" si="7"/>
        <v>0</v>
      </c>
      <c r="W80" s="782">
        <f t="shared" si="7"/>
        <v>0</v>
      </c>
      <c r="X80" s="782">
        <f t="shared" si="7"/>
        <v>0</v>
      </c>
      <c r="Y80" s="782">
        <f t="shared" ref="Y80:AN80" si="8">(Y8-J8+1) * Y78 * $F$79</f>
        <v>0</v>
      </c>
      <c r="Z80" s="782">
        <f t="shared" si="8"/>
        <v>0</v>
      </c>
      <c r="AA80" s="782">
        <f t="shared" si="8"/>
        <v>0</v>
      </c>
      <c r="AB80" s="782">
        <f t="shared" si="8"/>
        <v>0</v>
      </c>
      <c r="AC80" s="782">
        <f t="shared" si="8"/>
        <v>0</v>
      </c>
      <c r="AD80" s="782">
        <f t="shared" si="8"/>
        <v>0</v>
      </c>
      <c r="AE80" s="782">
        <f t="shared" si="8"/>
        <v>0</v>
      </c>
      <c r="AF80" s="782">
        <f t="shared" si="8"/>
        <v>0</v>
      </c>
      <c r="AG80" s="782">
        <f t="shared" si="8"/>
        <v>0</v>
      </c>
      <c r="AH80" s="782">
        <f t="shared" si="8"/>
        <v>0</v>
      </c>
      <c r="AI80" s="782">
        <f t="shared" si="8"/>
        <v>0</v>
      </c>
      <c r="AJ80" s="782">
        <f t="shared" si="8"/>
        <v>0</v>
      </c>
      <c r="AK80" s="782">
        <f t="shared" si="8"/>
        <v>0</v>
      </c>
      <c r="AL80" s="782">
        <f t="shared" si="8"/>
        <v>0</v>
      </c>
      <c r="AM80" s="782">
        <f t="shared" si="8"/>
        <v>0</v>
      </c>
      <c r="AN80" s="782">
        <f t="shared" si="8"/>
        <v>0</v>
      </c>
      <c r="AO80" s="761"/>
    </row>
    <row r="81" spans="1:41" s="762" customFormat="1" x14ac:dyDescent="0.25">
      <c r="A81" s="773"/>
      <c r="E81" s="778"/>
      <c r="F81" s="766"/>
      <c r="G81" s="778"/>
      <c r="H81" s="770"/>
      <c r="I81" s="770"/>
      <c r="J81" s="771"/>
      <c r="K81" s="770"/>
      <c r="L81" s="770"/>
      <c r="M81" s="770"/>
      <c r="N81" s="770"/>
      <c r="O81" s="770"/>
      <c r="P81" s="770"/>
      <c r="Q81" s="772"/>
      <c r="R81" s="770"/>
      <c r="S81" s="770"/>
      <c r="T81" s="770"/>
      <c r="U81" s="770"/>
      <c r="V81" s="770"/>
      <c r="W81" s="770"/>
      <c r="X81" s="770"/>
      <c r="Y81" s="770"/>
      <c r="Z81" s="770"/>
      <c r="AA81" s="770"/>
      <c r="AB81" s="770"/>
      <c r="AC81" s="770"/>
      <c r="AD81" s="770"/>
      <c r="AE81" s="770"/>
      <c r="AF81" s="770"/>
      <c r="AG81" s="770"/>
      <c r="AH81" s="770"/>
      <c r="AI81" s="770"/>
      <c r="AJ81" s="770"/>
      <c r="AK81" s="770"/>
      <c r="AL81" s="770"/>
      <c r="AM81" s="770"/>
      <c r="AN81" s="770"/>
      <c r="AO81" s="731"/>
    </row>
    <row r="82" spans="1:41" s="773" customFormat="1" x14ac:dyDescent="0.25">
      <c r="E82" s="780" t="str">
        <f>'ORT aansluitingen'!C62</f>
        <v>Aantal aansluitingen overige kleinverbruikers</v>
      </c>
      <c r="F82" s="780">
        <f>SUM(J82:AN82)</f>
        <v>0</v>
      </c>
      <c r="G82" s="780" t="s">
        <v>510</v>
      </c>
      <c r="H82" s="782"/>
      <c r="I82" s="782"/>
      <c r="J82" s="854">
        <f>'ORT aansluitingen'!U62</f>
        <v>0</v>
      </c>
      <c r="K82" s="780">
        <f>'ORT aansluitingen'!V62</f>
        <v>0</v>
      </c>
      <c r="L82" s="780">
        <f>'ORT aansluitingen'!W62</f>
        <v>0</v>
      </c>
      <c r="M82" s="780">
        <f>'ORT aansluitingen'!X62</f>
        <v>0</v>
      </c>
      <c r="N82" s="780">
        <f>'ORT aansluitingen'!Y62</f>
        <v>0</v>
      </c>
      <c r="O82" s="780">
        <f>'ORT aansluitingen'!Z62</f>
        <v>0</v>
      </c>
      <c r="P82" s="780">
        <f>'ORT aansluitingen'!AA62</f>
        <v>0</v>
      </c>
      <c r="Q82" s="855">
        <f>'ORT aansluitingen'!AB62</f>
        <v>0</v>
      </c>
      <c r="R82" s="780">
        <f>'ORT aansluitingen'!AC62</f>
        <v>0</v>
      </c>
      <c r="S82" s="780">
        <f>'ORT aansluitingen'!AD62</f>
        <v>0</v>
      </c>
      <c r="T82" s="780">
        <f>'ORT aansluitingen'!AE62</f>
        <v>0</v>
      </c>
      <c r="U82" s="780">
        <f>'ORT aansluitingen'!AF62</f>
        <v>0</v>
      </c>
      <c r="V82" s="780">
        <f>'ORT aansluitingen'!AG62</f>
        <v>0</v>
      </c>
      <c r="W82" s="780">
        <f>'ORT aansluitingen'!AH62</f>
        <v>0</v>
      </c>
      <c r="X82" s="780">
        <f>'ORT aansluitingen'!AI62</f>
        <v>0</v>
      </c>
      <c r="Y82" s="780">
        <f>'ORT aansluitingen'!AJ62</f>
        <v>0</v>
      </c>
      <c r="Z82" s="780">
        <f>'ORT aansluitingen'!AK62</f>
        <v>0</v>
      </c>
      <c r="AA82" s="780">
        <f>'ORT aansluitingen'!AL62</f>
        <v>0</v>
      </c>
      <c r="AB82" s="780">
        <f>'ORT aansluitingen'!AM62</f>
        <v>0</v>
      </c>
      <c r="AC82" s="780">
        <f>'ORT aansluitingen'!AN62</f>
        <v>0</v>
      </c>
      <c r="AD82" s="780">
        <f>'ORT aansluitingen'!AO62</f>
        <v>0</v>
      </c>
      <c r="AE82" s="780">
        <f>'ORT aansluitingen'!AP62</f>
        <v>0</v>
      </c>
      <c r="AF82" s="780">
        <f>'ORT aansluitingen'!AQ62</f>
        <v>0</v>
      </c>
      <c r="AG82" s="780">
        <f>'ORT aansluitingen'!AR62</f>
        <v>0</v>
      </c>
      <c r="AH82" s="780">
        <f>'ORT aansluitingen'!AS62</f>
        <v>0</v>
      </c>
      <c r="AI82" s="780">
        <f>'ORT aansluitingen'!AT62</f>
        <v>0</v>
      </c>
      <c r="AJ82" s="780">
        <f>'ORT aansluitingen'!AU62</f>
        <v>0</v>
      </c>
      <c r="AK82" s="780">
        <f>'ORT aansluitingen'!AV62</f>
        <v>0</v>
      </c>
      <c r="AL82" s="780">
        <f>'ORT aansluitingen'!AW62</f>
        <v>0</v>
      </c>
      <c r="AM82" s="780">
        <f>'ORT aansluitingen'!AX62</f>
        <v>0</v>
      </c>
      <c r="AN82" s="780">
        <f>'ORT aansluitingen'!AY62</f>
        <v>0</v>
      </c>
      <c r="AO82" s="761"/>
    </row>
    <row r="83" spans="1:41" s="773" customFormat="1" x14ac:dyDescent="0.25">
      <c r="E83" s="725" t="str">
        <f>Begroting!E145</f>
        <v>gewogen grondgebonden incl. overige</v>
      </c>
      <c r="F83" s="725">
        <f>Begroting!F145</f>
        <v>0</v>
      </c>
      <c r="G83" s="773" t="s">
        <v>539</v>
      </c>
      <c r="H83" s="782"/>
      <c r="I83" s="782"/>
      <c r="J83" s="807"/>
      <c r="K83" s="725"/>
      <c r="L83" s="725"/>
      <c r="M83" s="725"/>
      <c r="N83" s="725"/>
      <c r="O83" s="725"/>
      <c r="P83" s="725"/>
      <c r="Q83" s="808"/>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61"/>
    </row>
    <row r="84" spans="1:41" s="773" customFormat="1" x14ac:dyDescent="0.25">
      <c r="E84" s="781" t="s">
        <v>547</v>
      </c>
      <c r="F84" s="765">
        <f>SUM(J84:Q84)</f>
        <v>0</v>
      </c>
      <c r="G84" s="773" t="s">
        <v>534</v>
      </c>
      <c r="H84" s="782"/>
      <c r="I84" s="782"/>
      <c r="J84" s="783">
        <f t="shared" ref="J84:AN84" si="9">J9 * J82 * $F$83</f>
        <v>0</v>
      </c>
      <c r="K84" s="782">
        <f t="shared" si="9"/>
        <v>0</v>
      </c>
      <c r="L84" s="782">
        <f t="shared" si="9"/>
        <v>0</v>
      </c>
      <c r="M84" s="782">
        <f>M9 * M82 * $F$83</f>
        <v>0</v>
      </c>
      <c r="N84" s="782">
        <f t="shared" si="9"/>
        <v>0</v>
      </c>
      <c r="O84" s="782">
        <f t="shared" si="9"/>
        <v>0</v>
      </c>
      <c r="P84" s="782">
        <f t="shared" si="9"/>
        <v>0</v>
      </c>
      <c r="Q84" s="784">
        <f t="shared" si="9"/>
        <v>0</v>
      </c>
      <c r="R84" s="782">
        <f t="shared" si="9"/>
        <v>0</v>
      </c>
      <c r="S84" s="782">
        <f t="shared" si="9"/>
        <v>0</v>
      </c>
      <c r="T84" s="782">
        <f t="shared" si="9"/>
        <v>0</v>
      </c>
      <c r="U84" s="782">
        <f t="shared" si="9"/>
        <v>0</v>
      </c>
      <c r="V84" s="782">
        <f t="shared" si="9"/>
        <v>0</v>
      </c>
      <c r="W84" s="782">
        <f t="shared" si="9"/>
        <v>0</v>
      </c>
      <c r="X84" s="782">
        <f t="shared" si="9"/>
        <v>0</v>
      </c>
      <c r="Y84" s="782">
        <f t="shared" si="9"/>
        <v>0</v>
      </c>
      <c r="Z84" s="782">
        <f t="shared" si="9"/>
        <v>0</v>
      </c>
      <c r="AA84" s="782">
        <f t="shared" si="9"/>
        <v>0</v>
      </c>
      <c r="AB84" s="782">
        <f t="shared" si="9"/>
        <v>0</v>
      </c>
      <c r="AC84" s="782">
        <f t="shared" si="9"/>
        <v>0</v>
      </c>
      <c r="AD84" s="782">
        <f t="shared" si="9"/>
        <v>0</v>
      </c>
      <c r="AE84" s="782">
        <f t="shared" si="9"/>
        <v>0</v>
      </c>
      <c r="AF84" s="782">
        <f t="shared" si="9"/>
        <v>0</v>
      </c>
      <c r="AG84" s="782">
        <f t="shared" si="9"/>
        <v>0</v>
      </c>
      <c r="AH84" s="782">
        <f t="shared" si="9"/>
        <v>0</v>
      </c>
      <c r="AI84" s="782">
        <f t="shared" si="9"/>
        <v>0</v>
      </c>
      <c r="AJ84" s="782">
        <f t="shared" si="9"/>
        <v>0</v>
      </c>
      <c r="AK84" s="782">
        <f t="shared" si="9"/>
        <v>0</v>
      </c>
      <c r="AL84" s="782">
        <f t="shared" si="9"/>
        <v>0</v>
      </c>
      <c r="AM84" s="782">
        <f t="shared" si="9"/>
        <v>0</v>
      </c>
      <c r="AN84" s="782">
        <f t="shared" si="9"/>
        <v>0</v>
      </c>
      <c r="AO84" s="761"/>
    </row>
    <row r="85" spans="1:41" s="773" customFormat="1" x14ac:dyDescent="0.25">
      <c r="E85" s="787" t="s">
        <v>548</v>
      </c>
      <c r="F85" s="787">
        <f>SUM(J85:AN85)</f>
        <v>0</v>
      </c>
      <c r="G85" s="779" t="s">
        <v>510</v>
      </c>
      <c r="H85" s="787"/>
      <c r="I85" s="787"/>
      <c r="J85" s="788">
        <f>'ORT aansluitingen'!U62</f>
        <v>0</v>
      </c>
      <c r="K85" s="787">
        <f>'ORT aansluitingen'!V62</f>
        <v>0</v>
      </c>
      <c r="L85" s="787">
        <f>'ORT aansluitingen'!W62</f>
        <v>0</v>
      </c>
      <c r="M85" s="787">
        <f>'ORT aansluitingen'!X62</f>
        <v>0</v>
      </c>
      <c r="N85" s="787">
        <f>'ORT aansluitingen'!Y62</f>
        <v>0</v>
      </c>
      <c r="O85" s="787">
        <f>'ORT aansluitingen'!Z62</f>
        <v>0</v>
      </c>
      <c r="P85" s="787">
        <f>'ORT aansluitingen'!AA62</f>
        <v>0</v>
      </c>
      <c r="Q85" s="789">
        <f>'ORT aansluitingen'!AB62</f>
        <v>0</v>
      </c>
      <c r="R85" s="787">
        <f>'ORT aansluitingen'!AC62</f>
        <v>0</v>
      </c>
      <c r="S85" s="787">
        <f>'ORT aansluitingen'!AD62</f>
        <v>0</v>
      </c>
      <c r="T85" s="787">
        <f>'ORT aansluitingen'!AE62</f>
        <v>0</v>
      </c>
      <c r="U85" s="787">
        <f>'ORT aansluitingen'!AF62</f>
        <v>0</v>
      </c>
      <c r="V85" s="787">
        <f>'ORT aansluitingen'!AG62</f>
        <v>0</v>
      </c>
      <c r="W85" s="787">
        <f>'ORT aansluitingen'!AH62</f>
        <v>0</v>
      </c>
      <c r="X85" s="787">
        <f>'ORT aansluitingen'!AI62</f>
        <v>0</v>
      </c>
      <c r="Y85" s="787">
        <f>'ORT aansluitingen'!AJ62+'ORT aansluitingen'!U62</f>
        <v>0</v>
      </c>
      <c r="Z85" s="787">
        <f>'ORT aansluitingen'!AK62+'ORT aansluitingen'!V62</f>
        <v>0</v>
      </c>
      <c r="AA85" s="787">
        <f>'ORT aansluitingen'!AL62+'ORT aansluitingen'!W62</f>
        <v>0</v>
      </c>
      <c r="AB85" s="787">
        <f>'ORT aansluitingen'!AM62+'ORT aansluitingen'!X62</f>
        <v>0</v>
      </c>
      <c r="AC85" s="787">
        <f>'ORT aansluitingen'!AN62+'ORT aansluitingen'!Y62</f>
        <v>0</v>
      </c>
      <c r="AD85" s="787">
        <f>'ORT aansluitingen'!AO62+'ORT aansluitingen'!Z62</f>
        <v>0</v>
      </c>
      <c r="AE85" s="787">
        <f>'ORT aansluitingen'!AP62+'ORT aansluitingen'!AA62</f>
        <v>0</v>
      </c>
      <c r="AF85" s="787">
        <f>'ORT aansluitingen'!AQ62+'ORT aansluitingen'!AB62</f>
        <v>0</v>
      </c>
      <c r="AG85" s="787">
        <f>'ORT aansluitingen'!AR62+'ORT aansluitingen'!AC62</f>
        <v>0</v>
      </c>
      <c r="AH85" s="787">
        <f>'ORT aansluitingen'!AS62+'ORT aansluitingen'!AD62</f>
        <v>0</v>
      </c>
      <c r="AI85" s="787">
        <f>'ORT aansluitingen'!AT62+'ORT aansluitingen'!AE62</f>
        <v>0</v>
      </c>
      <c r="AJ85" s="787">
        <f>'ORT aansluitingen'!AU62+'ORT aansluitingen'!AF62</f>
        <v>0</v>
      </c>
      <c r="AK85" s="787">
        <f>'ORT aansluitingen'!AV62+'ORT aansluitingen'!AG62</f>
        <v>0</v>
      </c>
      <c r="AL85" s="787">
        <f>'ORT aansluitingen'!AW62+'ORT aansluitingen'!AH62</f>
        <v>0</v>
      </c>
      <c r="AM85" s="787">
        <f>'ORT aansluitingen'!AX62+'ORT aansluitingen'!AI62</f>
        <v>0</v>
      </c>
      <c r="AN85" s="787">
        <f>'ORT aansluitingen'!AY62+'ORT aansluitingen'!AJ62</f>
        <v>0</v>
      </c>
      <c r="AO85" s="761"/>
    </row>
    <row r="86" spans="1:41" s="773" customFormat="1" x14ac:dyDescent="0.25">
      <c r="E86" s="787" t="str">
        <f>Begroting!F147</f>
        <v>gewogen gemiddelde kosten afleversets</v>
      </c>
      <c r="F86" s="787">
        <f>Begroting!G147</f>
        <v>0</v>
      </c>
      <c r="G86" s="773" t="s">
        <v>539</v>
      </c>
      <c r="H86" s="782"/>
      <c r="I86" s="782"/>
      <c r="J86" s="783"/>
      <c r="K86" s="782"/>
      <c r="L86" s="782"/>
      <c r="M86" s="782"/>
      <c r="N86" s="782"/>
      <c r="O86" s="782"/>
      <c r="P86" s="782"/>
      <c r="Q86" s="784"/>
      <c r="R86" s="782"/>
      <c r="S86" s="782"/>
      <c r="T86" s="782"/>
      <c r="U86" s="782"/>
      <c r="V86" s="782"/>
      <c r="W86" s="782"/>
      <c r="X86" s="782"/>
      <c r="Y86" s="782"/>
      <c r="Z86" s="782"/>
      <c r="AA86" s="782"/>
      <c r="AB86" s="782"/>
      <c r="AC86" s="782"/>
      <c r="AD86" s="782"/>
      <c r="AE86" s="782"/>
      <c r="AF86" s="782"/>
      <c r="AG86" s="782"/>
      <c r="AH86" s="782"/>
      <c r="AI86" s="782"/>
      <c r="AJ86" s="782"/>
      <c r="AK86" s="782"/>
      <c r="AL86" s="782"/>
      <c r="AM86" s="782"/>
      <c r="AN86" s="782"/>
      <c r="AO86" s="761"/>
    </row>
    <row r="87" spans="1:41" s="773" customFormat="1" x14ac:dyDescent="0.25">
      <c r="E87" s="781" t="s">
        <v>549</v>
      </c>
      <c r="F87" s="765">
        <f>SUM(J87:Q87)</f>
        <v>0</v>
      </c>
      <c r="G87" s="773" t="s">
        <v>534</v>
      </c>
      <c r="H87" s="782"/>
      <c r="I87" s="782"/>
      <c r="J87" s="783">
        <f t="shared" ref="J87:X87" si="10">J9 * J85 * $F$86</f>
        <v>0</v>
      </c>
      <c r="K87" s="782">
        <f t="shared" si="10"/>
        <v>0</v>
      </c>
      <c r="L87" s="782">
        <f t="shared" si="10"/>
        <v>0</v>
      </c>
      <c r="M87" s="782">
        <f t="shared" si="10"/>
        <v>0</v>
      </c>
      <c r="N87" s="782">
        <f t="shared" si="10"/>
        <v>0</v>
      </c>
      <c r="O87" s="782">
        <f t="shared" si="10"/>
        <v>0</v>
      </c>
      <c r="P87" s="782">
        <f t="shared" si="10"/>
        <v>0</v>
      </c>
      <c r="Q87" s="784">
        <f t="shared" si="10"/>
        <v>0</v>
      </c>
      <c r="R87" s="782">
        <f t="shared" si="10"/>
        <v>0</v>
      </c>
      <c r="S87" s="782">
        <f t="shared" si="10"/>
        <v>0</v>
      </c>
      <c r="T87" s="782">
        <f t="shared" si="10"/>
        <v>0</v>
      </c>
      <c r="U87" s="782">
        <f t="shared" si="10"/>
        <v>0</v>
      </c>
      <c r="V87" s="782">
        <f t="shared" si="10"/>
        <v>0</v>
      </c>
      <c r="W87" s="782">
        <f t="shared" si="10"/>
        <v>0</v>
      </c>
      <c r="X87" s="782">
        <f t="shared" si="10"/>
        <v>0</v>
      </c>
      <c r="Y87" s="782">
        <f t="shared" ref="Y87:AN87" si="11">(Y8-J8+1) * Y85 * $F$86</f>
        <v>0</v>
      </c>
      <c r="Z87" s="782">
        <f t="shared" si="11"/>
        <v>0</v>
      </c>
      <c r="AA87" s="782">
        <f t="shared" si="11"/>
        <v>0</v>
      </c>
      <c r="AB87" s="782">
        <f t="shared" si="11"/>
        <v>0</v>
      </c>
      <c r="AC87" s="782">
        <f t="shared" si="11"/>
        <v>0</v>
      </c>
      <c r="AD87" s="782">
        <f t="shared" si="11"/>
        <v>0</v>
      </c>
      <c r="AE87" s="782">
        <f t="shared" si="11"/>
        <v>0</v>
      </c>
      <c r="AF87" s="782">
        <f t="shared" si="11"/>
        <v>0</v>
      </c>
      <c r="AG87" s="782">
        <f t="shared" si="11"/>
        <v>0</v>
      </c>
      <c r="AH87" s="782">
        <f t="shared" si="11"/>
        <v>0</v>
      </c>
      <c r="AI87" s="782">
        <f t="shared" si="11"/>
        <v>0</v>
      </c>
      <c r="AJ87" s="782">
        <f t="shared" si="11"/>
        <v>0</v>
      </c>
      <c r="AK87" s="782">
        <f t="shared" si="11"/>
        <v>0</v>
      </c>
      <c r="AL87" s="782">
        <f t="shared" si="11"/>
        <v>0</v>
      </c>
      <c r="AM87" s="782">
        <f t="shared" si="11"/>
        <v>0</v>
      </c>
      <c r="AN87" s="782">
        <f t="shared" si="11"/>
        <v>0</v>
      </c>
      <c r="AO87" s="761"/>
    </row>
    <row r="88" spans="1:41" s="773" customFormat="1" x14ac:dyDescent="0.25">
      <c r="E88" s="781"/>
      <c r="F88" s="765"/>
      <c r="H88" s="782"/>
      <c r="I88" s="782"/>
      <c r="J88" s="783"/>
      <c r="K88" s="782"/>
      <c r="L88" s="782"/>
      <c r="M88" s="782"/>
      <c r="N88" s="782"/>
      <c r="O88" s="782"/>
      <c r="P88" s="782"/>
      <c r="Q88" s="784"/>
      <c r="R88" s="782"/>
      <c r="S88" s="782"/>
      <c r="T88" s="782"/>
      <c r="U88" s="782"/>
      <c r="V88" s="782"/>
      <c r="W88" s="782"/>
      <c r="X88" s="782"/>
      <c r="Y88" s="782"/>
      <c r="Z88" s="782"/>
      <c r="AA88" s="782"/>
      <c r="AB88" s="782"/>
      <c r="AC88" s="782"/>
      <c r="AD88" s="782"/>
      <c r="AE88" s="782"/>
      <c r="AF88" s="782"/>
      <c r="AG88" s="782"/>
      <c r="AH88" s="782"/>
      <c r="AI88" s="782"/>
      <c r="AJ88" s="782"/>
      <c r="AK88" s="782"/>
      <c r="AL88" s="782"/>
      <c r="AM88" s="782"/>
      <c r="AN88" s="782"/>
      <c r="AO88" s="761"/>
    </row>
    <row r="89" spans="1:41" s="1036" customFormat="1" x14ac:dyDescent="0.25">
      <c r="E89" s="1048" t="s">
        <v>550</v>
      </c>
      <c r="F89" s="1048">
        <f>SUM(J89:AN89)</f>
        <v>0</v>
      </c>
      <c r="G89" s="1048" t="s">
        <v>510</v>
      </c>
      <c r="H89" s="1049"/>
      <c r="I89" s="1049"/>
      <c r="J89" s="1050" cm="1">
        <f t="array" ref="J89">SUMPRODUCT(  ('Aansluitingen na looptijd'!$E10:$I10=J$5) *  ('Aansluitingen na looptijd'!$E11:$I11)  )</f>
        <v>0</v>
      </c>
      <c r="K89" s="1049" cm="1">
        <f t="array" ref="K89">SUMPRODUCT(  ('Aansluitingen na looptijd'!$E10:$I10=K$5) *  ('Aansluitingen na looptijd'!$E11:$I11)  )</f>
        <v>0</v>
      </c>
      <c r="L89" s="1049" cm="1">
        <f t="array" ref="L89">SUMPRODUCT(  ('Aansluitingen na looptijd'!$E10:$I10=L$5) *  ('Aansluitingen na looptijd'!$E11:$I11)  )</f>
        <v>0</v>
      </c>
      <c r="M89" s="1049" cm="1">
        <f t="array" ref="M89">SUMPRODUCT(  ('Aansluitingen na looptijd'!$E10:$I10=M$5) *  ('Aansluitingen na looptijd'!$E11:$I11)  )</f>
        <v>0</v>
      </c>
      <c r="N89" s="1049" cm="1">
        <f t="array" ref="N89">SUMPRODUCT(  ('Aansluitingen na looptijd'!$E10:$I10=N$5) *  ('Aansluitingen na looptijd'!$E11:$I11)  )</f>
        <v>0</v>
      </c>
      <c r="O89" s="1049" cm="1">
        <f t="array" ref="O89">SUMPRODUCT(  ('Aansluitingen na looptijd'!$E10:$I10=O$5) *  ('Aansluitingen na looptijd'!$E11:$I11)  )</f>
        <v>0</v>
      </c>
      <c r="P89" s="1049" cm="1">
        <f t="array" ref="P89">SUMPRODUCT(  ('Aansluitingen na looptijd'!$E10:$I10=P$5) *  ('Aansluitingen na looptijd'!$E11:$I11)  )</f>
        <v>0</v>
      </c>
      <c r="Q89" s="1051" cm="1">
        <f t="array" ref="Q89">SUMPRODUCT(  ('Aansluitingen na looptijd'!$E10:$I10=Q$5) *  ('Aansluitingen na looptijd'!$E11:$I11)  )</f>
        <v>0</v>
      </c>
      <c r="R89" s="1049" cm="1">
        <f t="array" ref="R89">SUMPRODUCT(  ('Aansluitingen na looptijd'!$E10:$I10=R$5) *  ('Aansluitingen na looptijd'!$E11:$I11)  )</f>
        <v>0</v>
      </c>
      <c r="S89" s="1049" cm="1">
        <f t="array" ref="S89">SUMPRODUCT(  ('Aansluitingen na looptijd'!$E10:$I10=S$5) *  ('Aansluitingen na looptijd'!$E11:$I11)  )</f>
        <v>0</v>
      </c>
      <c r="T89" s="1049" cm="1">
        <f t="array" ref="T89">SUMPRODUCT(  ('Aansluitingen na looptijd'!$E10:$I10=T$5) *  ('Aansluitingen na looptijd'!$E11:$I11)  )</f>
        <v>0</v>
      </c>
      <c r="U89" s="1049" cm="1">
        <f t="array" ref="U89">SUMPRODUCT(  ('Aansluitingen na looptijd'!$E10:$I10=U$5) *  ('Aansluitingen na looptijd'!$E11:$I11)  )</f>
        <v>0</v>
      </c>
      <c r="V89" s="1049" cm="1">
        <f t="array" ref="V89">SUMPRODUCT(  ('Aansluitingen na looptijd'!$E10:$I10=V$5) *  ('Aansluitingen na looptijd'!$E11:$I11)  )</f>
        <v>0</v>
      </c>
      <c r="W89" s="1049" cm="1">
        <f t="array" ref="W89">SUMPRODUCT(  ('Aansluitingen na looptijd'!$E10:$I10=W$5) *  ('Aansluitingen na looptijd'!$E11:$I11)  )</f>
        <v>0</v>
      </c>
      <c r="X89" s="1049" cm="1">
        <f t="array" ref="X89">SUMPRODUCT(  ('Aansluitingen na looptijd'!$E10:$I10=X$5) *  ('Aansluitingen na looptijd'!$E11:$I11)  )</f>
        <v>0</v>
      </c>
      <c r="Y89" s="1049" cm="1">
        <f t="array" ref="Y89">SUMPRODUCT(  ('Aansluitingen na looptijd'!$E10:$I10=Y$5) *  ('Aansluitingen na looptijd'!$E11:$I11)  )</f>
        <v>0</v>
      </c>
      <c r="Z89" s="1049" cm="1">
        <f t="array" ref="Z89">SUMPRODUCT(  ('Aansluitingen na looptijd'!$E10:$I10=Z$5) *  ('Aansluitingen na looptijd'!$E11:$I11)  )</f>
        <v>0</v>
      </c>
      <c r="AA89" s="1049" cm="1">
        <f t="array" ref="AA89">SUMPRODUCT(  ('Aansluitingen na looptijd'!$E10:$I10=AA$5) *  ('Aansluitingen na looptijd'!$E11:$I11)  )</f>
        <v>0</v>
      </c>
      <c r="AB89" s="1049" cm="1">
        <f t="array" ref="AB89">SUMPRODUCT(  ('Aansluitingen na looptijd'!$E10:$I10=AB$5) *  ('Aansluitingen na looptijd'!$E11:$I11)  )</f>
        <v>0</v>
      </c>
      <c r="AC89" s="1049" cm="1">
        <f t="array" ref="AC89">SUMPRODUCT(  ('Aansluitingen na looptijd'!$E10:$I10=AC$5) *  ('Aansluitingen na looptijd'!$E11:$I11)  )</f>
        <v>0</v>
      </c>
      <c r="AD89" s="1049" cm="1">
        <f t="array" ref="AD89">SUMPRODUCT(  ('Aansluitingen na looptijd'!$E10:$I10=AD$5) *  ('Aansluitingen na looptijd'!$E11:$I11)  )</f>
        <v>0</v>
      </c>
      <c r="AE89" s="1049" cm="1">
        <f t="array" ref="AE89">SUMPRODUCT(  ('Aansluitingen na looptijd'!$E10:$I10=AE$5) *  ('Aansluitingen na looptijd'!$E11:$I11)  )</f>
        <v>0</v>
      </c>
      <c r="AF89" s="1049" cm="1">
        <f t="array" ref="AF89">SUMPRODUCT(  ('Aansluitingen na looptijd'!$E10:$I10=AF$5) *  ('Aansluitingen na looptijd'!$E11:$I11)  )</f>
        <v>0</v>
      </c>
      <c r="AG89" s="1049" cm="1">
        <f t="array" ref="AG89">SUMPRODUCT(  ('Aansluitingen na looptijd'!$E10:$I10=AG$5) *  ('Aansluitingen na looptijd'!$E11:$I11)  )</f>
        <v>0</v>
      </c>
      <c r="AH89" s="1049" cm="1">
        <f t="array" ref="AH89">SUMPRODUCT(  ('Aansluitingen na looptijd'!$E10:$I10=AH$5) *  ('Aansluitingen na looptijd'!$E11:$I11)  )</f>
        <v>0</v>
      </c>
      <c r="AI89" s="1049" cm="1">
        <f t="array" ref="AI89">SUMPRODUCT(  ('Aansluitingen na looptijd'!$E10:$I10=AI$5) *  ('Aansluitingen na looptijd'!$E11:$I11)  )</f>
        <v>0</v>
      </c>
      <c r="AJ89" s="1049" cm="1">
        <f t="array" ref="AJ89">SUMPRODUCT(  ('Aansluitingen na looptijd'!$E10:$I10=AJ$5) *  ('Aansluitingen na looptijd'!$E11:$I11)  )</f>
        <v>0</v>
      </c>
      <c r="AK89" s="1049" cm="1">
        <f t="array" ref="AK89">SUMPRODUCT(  ('Aansluitingen na looptijd'!$E10:$I10=AK$5) *  ('Aansluitingen na looptijd'!$E11:$I11)  )</f>
        <v>0</v>
      </c>
      <c r="AL89" s="1049" cm="1">
        <f t="array" ref="AL89">SUMPRODUCT(  ('Aansluitingen na looptijd'!$E10:$I10=AL$5) *  ('Aansluitingen na looptijd'!$E11:$I11)  )</f>
        <v>0</v>
      </c>
      <c r="AM89" s="1049" cm="1">
        <f t="array" ref="AM89">SUMPRODUCT(  ('Aansluitingen na looptijd'!$E10:$I10=AM$5) *  ('Aansluitingen na looptijd'!$E11:$I11)  )</f>
        <v>0</v>
      </c>
      <c r="AN89" s="1049" cm="1">
        <f t="array" ref="AN89">SUMPRODUCT(  ('Aansluitingen na looptijd'!$E10:$I10=AN$5) *  ('Aansluitingen na looptijd'!$E11:$I11)  )</f>
        <v>0</v>
      </c>
      <c r="AO89" s="1049"/>
    </row>
    <row r="90" spans="1:41" x14ac:dyDescent="0.25"/>
    <row r="91" spans="1:41" s="762" customFormat="1" x14ac:dyDescent="0.25">
      <c r="A91" s="773"/>
      <c r="E91" s="731" t="s">
        <v>551</v>
      </c>
      <c r="F91" s="731">
        <f>Begroting!Q173+Begroting!Q41</f>
        <v>0</v>
      </c>
      <c r="G91" s="762" t="s">
        <v>534</v>
      </c>
      <c r="H91" s="770"/>
      <c r="I91" s="770"/>
      <c r="J91" s="734"/>
      <c r="K91" s="770"/>
      <c r="L91" s="770"/>
      <c r="M91" s="770"/>
      <c r="N91" s="770"/>
      <c r="O91" s="770"/>
      <c r="P91" s="770"/>
      <c r="Q91" s="772"/>
      <c r="R91" s="770"/>
      <c r="S91" s="770"/>
      <c r="T91" s="770"/>
      <c r="U91" s="770"/>
      <c r="V91" s="770"/>
      <c r="W91" s="770"/>
      <c r="X91" s="770"/>
      <c r="Y91" s="770"/>
      <c r="Z91" s="770"/>
      <c r="AA91" s="770"/>
      <c r="AB91" s="770"/>
      <c r="AC91" s="770"/>
      <c r="AD91" s="770"/>
      <c r="AE91" s="770"/>
      <c r="AF91" s="770"/>
      <c r="AG91" s="770"/>
      <c r="AH91" s="770"/>
      <c r="AI91" s="770"/>
      <c r="AJ91" s="770"/>
      <c r="AK91" s="770"/>
      <c r="AL91" s="770"/>
      <c r="AM91" s="770"/>
      <c r="AN91" s="770"/>
      <c r="AO91" s="731"/>
    </row>
    <row r="92" spans="1:41" s="762" customFormat="1" x14ac:dyDescent="0.25">
      <c r="A92" s="773"/>
      <c r="E92" s="763" t="s">
        <v>535</v>
      </c>
      <c r="F92" s="764">
        <v>30</v>
      </c>
      <c r="G92" s="757" t="s">
        <v>503</v>
      </c>
      <c r="H92" s="770"/>
      <c r="I92" s="770"/>
      <c r="J92" s="776"/>
      <c r="K92" s="764"/>
      <c r="L92" s="764"/>
      <c r="M92" s="764"/>
      <c r="N92" s="764"/>
      <c r="O92" s="764"/>
      <c r="P92" s="764"/>
      <c r="Q92" s="777"/>
      <c r="R92" s="764"/>
      <c r="S92" s="764"/>
      <c r="T92" s="764"/>
      <c r="U92" s="764"/>
      <c r="V92" s="764"/>
      <c r="W92" s="764"/>
      <c r="X92" s="764"/>
      <c r="Y92" s="764"/>
      <c r="Z92" s="764"/>
      <c r="AA92" s="764"/>
      <c r="AB92" s="764"/>
      <c r="AC92" s="764"/>
      <c r="AD92" s="764"/>
      <c r="AE92" s="764"/>
      <c r="AF92" s="764"/>
      <c r="AG92" s="764"/>
      <c r="AH92" s="764"/>
      <c r="AI92" s="764"/>
      <c r="AJ92" s="764"/>
      <c r="AK92" s="764"/>
      <c r="AL92" s="764"/>
      <c r="AM92" s="764"/>
      <c r="AN92" s="764"/>
      <c r="AO92" s="731"/>
    </row>
    <row r="93" spans="1:41" s="762" customFormat="1" hidden="1" outlineLevel="1" x14ac:dyDescent="0.25">
      <c r="A93" s="773"/>
      <c r="E93" s="767">
        <v>1</v>
      </c>
      <c r="F93" s="764"/>
      <c r="G93" s="757"/>
      <c r="H93" s="770"/>
      <c r="I93" s="770"/>
      <c r="J93" s="783" cm="1">
        <f t="array" ref="J93">( SUMPRODUCT((Begroting!$B$18:$B$40=$E93) * (Begroting!$Q$18:$Q$40)) + SUMPRODUCT((Begroting!$B$152:$B$172=$E93) * (Begroting!$Q$152:$Q$172)) )*'Mijlpaal Berekening'!C51</f>
        <v>0</v>
      </c>
      <c r="K93" s="782" cm="1">
        <f t="array" ref="K93">( SUMPRODUCT((Begroting!$B$18:$B$40=$E93) * (Begroting!$Q$18:$Q$40)) + SUMPRODUCT((Begroting!$B$152:$B$172=$E93) * (Begroting!$Q$152:$Q$172)) )*'Mijlpaal Berekening'!D51</f>
        <v>0</v>
      </c>
      <c r="L93" s="782" cm="1">
        <f t="array" ref="L93">( SUMPRODUCT((Begroting!$B$18:$B$40=$E93) * (Begroting!$Q$18:$Q$40)) + SUMPRODUCT((Begroting!$B$152:$B$172=$E93) * (Begroting!$Q$152:$Q$172)) )*'Mijlpaal Berekening'!E51</f>
        <v>0</v>
      </c>
      <c r="M93" s="782" cm="1">
        <f t="array" ref="M93">( SUMPRODUCT((Begroting!$B$18:$B$40=$E93) * (Begroting!$Q$18:$Q$40)) + SUMPRODUCT((Begroting!$B$152:$B$172=$E93) * (Begroting!$Q$152:$Q$172)) )*'Mijlpaal Berekening'!F51</f>
        <v>0</v>
      </c>
      <c r="N93" s="782" cm="1">
        <f t="array" ref="N93">( SUMPRODUCT((Begroting!$B$18:$B$40=$E93) * (Begroting!$Q$18:$Q$40)) + SUMPRODUCT((Begroting!$B$152:$B$172=$E93) * (Begroting!$Q$152:$Q$172)) )*'Mijlpaal Berekening'!G51</f>
        <v>0</v>
      </c>
      <c r="O93" s="782" cm="1">
        <f t="array" ref="O93">( SUMPRODUCT((Begroting!$B$18:$B$40=$E93) * (Begroting!$Q$18:$Q$40)) + SUMPRODUCT((Begroting!$B$152:$B$172=$E93) * (Begroting!$Q$152:$Q$172)) )*'Mijlpaal Berekening'!H51</f>
        <v>0</v>
      </c>
      <c r="P93" s="782" cm="1">
        <f t="array" ref="P93">( SUMPRODUCT((Begroting!$B$18:$B$40=$E93) * (Begroting!$Q$18:$Q$40)) + SUMPRODUCT((Begroting!$B$152:$B$172=$E93) * (Begroting!$Q$152:$Q$172)) )*'Mijlpaal Berekening'!I51</f>
        <v>0</v>
      </c>
      <c r="Q93" s="784" cm="1">
        <f t="array" ref="Q93">( SUMPRODUCT((Begroting!$B$18:$B$40=$E93) * (Begroting!$Q$18:$Q$40)) + SUMPRODUCT((Begroting!$B$152:$B$172=$E93) * (Begroting!$Q$152:$Q$172)) )*'Mijlpaal Berekening'!J51</f>
        <v>0</v>
      </c>
      <c r="R93" s="782"/>
      <c r="S93" s="782"/>
      <c r="T93" s="764"/>
      <c r="U93" s="764"/>
      <c r="V93" s="764"/>
      <c r="W93" s="764"/>
      <c r="X93" s="764"/>
      <c r="Y93" s="764"/>
      <c r="Z93" s="764"/>
      <c r="AA93" s="764"/>
      <c r="AB93" s="764"/>
      <c r="AC93" s="764"/>
      <c r="AD93" s="764"/>
      <c r="AE93" s="764"/>
      <c r="AF93" s="764"/>
      <c r="AG93" s="764"/>
      <c r="AH93" s="764"/>
      <c r="AI93" s="764"/>
      <c r="AJ93" s="764"/>
      <c r="AK93" s="764"/>
      <c r="AL93" s="764"/>
      <c r="AM93" s="764"/>
      <c r="AN93" s="764"/>
      <c r="AO93" s="731"/>
    </row>
    <row r="94" spans="1:41" s="762" customFormat="1" hidden="1" outlineLevel="1" x14ac:dyDescent="0.25">
      <c r="A94" s="773"/>
      <c r="E94" s="767">
        <v>2</v>
      </c>
      <c r="F94" s="764"/>
      <c r="G94" s="757"/>
      <c r="H94" s="770"/>
      <c r="I94" s="770"/>
      <c r="J94" s="783" cm="1">
        <f t="array" ref="J94">( SUMPRODUCT((Begroting!$B$18:$B$40=$E94) * (Begroting!$Q$18:$Q$40)) + SUMPRODUCT((Begroting!$B$152:$B$172=$E94) * (Begroting!$Q$152:$Q$172)) )*'Mijlpaal Berekening'!C52</f>
        <v>0</v>
      </c>
      <c r="K94" s="782" cm="1">
        <f t="array" ref="K94">( SUMPRODUCT((Begroting!$B$18:$B$40=$E94) * (Begroting!$Q$18:$Q$40)) + SUMPRODUCT((Begroting!$B$152:$B$172=$E94) * (Begroting!$Q$152:$Q$172)) )*'Mijlpaal Berekening'!D52</f>
        <v>0</v>
      </c>
      <c r="L94" s="782" cm="1">
        <f t="array" ref="L94">( SUMPRODUCT((Begroting!$B$18:$B$40=$E94) * (Begroting!$Q$18:$Q$40)) + SUMPRODUCT((Begroting!$B$152:$B$172=$E94) * (Begroting!$Q$152:$Q$172)) )*'Mijlpaal Berekening'!E52</f>
        <v>0</v>
      </c>
      <c r="M94" s="782" cm="1">
        <f t="array" ref="M94">( SUMPRODUCT((Begroting!$B$18:$B$40=$E94) * (Begroting!$Q$18:$Q$40)) + SUMPRODUCT((Begroting!$B$152:$B$172=$E94) * (Begroting!$Q$152:$Q$172)) )*'Mijlpaal Berekening'!F52</f>
        <v>0</v>
      </c>
      <c r="N94" s="782" cm="1">
        <f t="array" ref="N94">( SUMPRODUCT((Begroting!$B$18:$B$40=$E94) * (Begroting!$Q$18:$Q$40)) + SUMPRODUCT((Begroting!$B$152:$B$172=$E94) * (Begroting!$Q$152:$Q$172)) )*'Mijlpaal Berekening'!G52</f>
        <v>0</v>
      </c>
      <c r="O94" s="782" cm="1">
        <f t="array" ref="O94">( SUMPRODUCT((Begroting!$B$18:$B$40=$E94) * (Begroting!$Q$18:$Q$40)) + SUMPRODUCT((Begroting!$B$152:$B$172=$E94) * (Begroting!$Q$152:$Q$172)) )*'Mijlpaal Berekening'!H52</f>
        <v>0</v>
      </c>
      <c r="P94" s="782" cm="1">
        <f t="array" ref="P94">( SUMPRODUCT((Begroting!$B$18:$B$40=$E94) * (Begroting!$Q$18:$Q$40)) + SUMPRODUCT((Begroting!$B$152:$B$172=$E94) * (Begroting!$Q$152:$Q$172)) )*'Mijlpaal Berekening'!I52</f>
        <v>0</v>
      </c>
      <c r="Q94" s="784" cm="1">
        <f t="array" ref="Q94">( SUMPRODUCT((Begroting!$B$18:$B$40=$E94) * (Begroting!$Q$18:$Q$40)) + SUMPRODUCT((Begroting!$B$152:$B$172=$E94) * (Begroting!$Q$152:$Q$172)) )*'Mijlpaal Berekening'!J52</f>
        <v>0</v>
      </c>
      <c r="R94" s="782"/>
      <c r="S94" s="782"/>
      <c r="T94" s="764"/>
      <c r="U94" s="764"/>
      <c r="V94" s="764"/>
      <c r="W94" s="764"/>
      <c r="X94" s="764"/>
      <c r="Y94" s="764"/>
      <c r="Z94" s="764"/>
      <c r="AA94" s="764"/>
      <c r="AB94" s="764"/>
      <c r="AC94" s="764"/>
      <c r="AD94" s="764"/>
      <c r="AE94" s="764"/>
      <c r="AF94" s="764"/>
      <c r="AG94" s="764"/>
      <c r="AH94" s="764"/>
      <c r="AI94" s="764"/>
      <c r="AJ94" s="764"/>
      <c r="AK94" s="764"/>
      <c r="AL94" s="764"/>
      <c r="AM94" s="764"/>
      <c r="AN94" s="764"/>
      <c r="AO94" s="731"/>
    </row>
    <row r="95" spans="1:41" s="762" customFormat="1" hidden="1" outlineLevel="1" x14ac:dyDescent="0.25">
      <c r="A95" s="773"/>
      <c r="E95" s="767">
        <v>3</v>
      </c>
      <c r="F95" s="764"/>
      <c r="G95" s="757"/>
      <c r="H95" s="770"/>
      <c r="I95" s="770"/>
      <c r="J95" s="783" cm="1">
        <f t="array" ref="J95">( SUMPRODUCT((Begroting!$B$18:$B$40=$E95) * (Begroting!$Q$18:$Q$40)) + SUMPRODUCT((Begroting!$B$152:$B$172=$E95) * (Begroting!$Q$152:$Q$172)) )*'Mijlpaal Berekening'!C53</f>
        <v>0</v>
      </c>
      <c r="K95" s="782" cm="1">
        <f t="array" ref="K95">( SUMPRODUCT((Begroting!$B$18:$B$40=$E95) * (Begroting!$Q$18:$Q$40)) + SUMPRODUCT((Begroting!$B$152:$B$172=$E95) * (Begroting!$Q$152:$Q$172)) )*'Mijlpaal Berekening'!D53</f>
        <v>0</v>
      </c>
      <c r="L95" s="782" cm="1">
        <f t="array" ref="L95">( SUMPRODUCT((Begroting!$B$18:$B$40=$E95) * (Begroting!$Q$18:$Q$40)) + SUMPRODUCT((Begroting!$B$152:$B$172=$E95) * (Begroting!$Q$152:$Q$172)) )*'Mijlpaal Berekening'!E53</f>
        <v>0</v>
      </c>
      <c r="M95" s="782" cm="1">
        <f t="array" ref="M95">( SUMPRODUCT((Begroting!$B$18:$B$40=$E95) * (Begroting!$Q$18:$Q$40)) + SUMPRODUCT((Begroting!$B$152:$B$172=$E95) * (Begroting!$Q$152:$Q$172)) )*'Mijlpaal Berekening'!F53</f>
        <v>0</v>
      </c>
      <c r="N95" s="782" cm="1">
        <f t="array" ref="N95">( SUMPRODUCT((Begroting!$B$18:$B$40=$E95) * (Begroting!$Q$18:$Q$40)) + SUMPRODUCT((Begroting!$B$152:$B$172=$E95) * (Begroting!$Q$152:$Q$172)) )*'Mijlpaal Berekening'!G53</f>
        <v>0</v>
      </c>
      <c r="O95" s="782" cm="1">
        <f t="array" ref="O95">( SUMPRODUCT((Begroting!$B$18:$B$40=$E95) * (Begroting!$Q$18:$Q$40)) + SUMPRODUCT((Begroting!$B$152:$B$172=$E95) * (Begroting!$Q$152:$Q$172)) )*'Mijlpaal Berekening'!H53</f>
        <v>0</v>
      </c>
      <c r="P95" s="782" cm="1">
        <f t="array" ref="P95">( SUMPRODUCT((Begroting!$B$18:$B$40=$E95) * (Begroting!$Q$18:$Q$40)) + SUMPRODUCT((Begroting!$B$152:$B$172=$E95) * (Begroting!$Q$152:$Q$172)) )*'Mijlpaal Berekening'!I53</f>
        <v>0</v>
      </c>
      <c r="Q95" s="784" cm="1">
        <f t="array" ref="Q95">( SUMPRODUCT((Begroting!$B$18:$B$40=$E95) * (Begroting!$Q$18:$Q$40)) + SUMPRODUCT((Begroting!$B$152:$B$172=$E95) * (Begroting!$Q$152:$Q$172)) )*'Mijlpaal Berekening'!J53</f>
        <v>0</v>
      </c>
      <c r="R95" s="782"/>
      <c r="S95" s="782"/>
      <c r="T95" s="764"/>
      <c r="U95" s="764"/>
      <c r="V95" s="764"/>
      <c r="W95" s="764"/>
      <c r="X95" s="764"/>
      <c r="Y95" s="764"/>
      <c r="Z95" s="764"/>
      <c r="AA95" s="764"/>
      <c r="AB95" s="764"/>
      <c r="AC95" s="764"/>
      <c r="AD95" s="764"/>
      <c r="AE95" s="764"/>
      <c r="AF95" s="764"/>
      <c r="AG95" s="764"/>
      <c r="AH95" s="764"/>
      <c r="AI95" s="764"/>
      <c r="AJ95" s="764"/>
      <c r="AK95" s="764"/>
      <c r="AL95" s="764"/>
      <c r="AM95" s="764"/>
      <c r="AN95" s="764"/>
      <c r="AO95" s="731"/>
    </row>
    <row r="96" spans="1:41" s="762" customFormat="1" hidden="1" outlineLevel="1" x14ac:dyDescent="0.25">
      <c r="A96" s="773"/>
      <c r="E96" s="767">
        <v>4</v>
      </c>
      <c r="F96" s="764"/>
      <c r="G96" s="757"/>
      <c r="H96" s="770"/>
      <c r="I96" s="770"/>
      <c r="J96" s="783" cm="1">
        <f t="array" ref="J96">( SUMPRODUCT((Begroting!$B$18:$B$40=$E96) * (Begroting!$Q$18:$Q$40)) + SUMPRODUCT((Begroting!$B$152:$B$172=$E96) * (Begroting!$Q$152:$Q$172)) )*'Mijlpaal Berekening'!C54</f>
        <v>0</v>
      </c>
      <c r="K96" s="782" cm="1">
        <f t="array" ref="K96">( SUMPRODUCT((Begroting!$B$18:$B$40=$E96) * (Begroting!$Q$18:$Q$40)) + SUMPRODUCT((Begroting!$B$152:$B$172=$E96) * (Begroting!$Q$152:$Q$172)) )*'Mijlpaal Berekening'!D54</f>
        <v>0</v>
      </c>
      <c r="L96" s="782" cm="1">
        <f t="array" ref="L96">( SUMPRODUCT((Begroting!$B$18:$B$40=$E96) * (Begroting!$Q$18:$Q$40)) + SUMPRODUCT((Begroting!$B$152:$B$172=$E96) * (Begroting!$Q$152:$Q$172)) )*'Mijlpaal Berekening'!E54</f>
        <v>0</v>
      </c>
      <c r="M96" s="782" cm="1">
        <f t="array" ref="M96">( SUMPRODUCT((Begroting!$B$18:$B$40=$E96) * (Begroting!$Q$18:$Q$40)) + SUMPRODUCT((Begroting!$B$152:$B$172=$E96) * (Begroting!$Q$152:$Q$172)) )*'Mijlpaal Berekening'!F54</f>
        <v>0</v>
      </c>
      <c r="N96" s="782" cm="1">
        <f t="array" ref="N96">( SUMPRODUCT((Begroting!$B$18:$B$40=$E96) * (Begroting!$Q$18:$Q$40)) + SUMPRODUCT((Begroting!$B$152:$B$172=$E96) * (Begroting!$Q$152:$Q$172)) )*'Mijlpaal Berekening'!G54</f>
        <v>0</v>
      </c>
      <c r="O96" s="782" cm="1">
        <f t="array" ref="O96">( SUMPRODUCT((Begroting!$B$18:$B$40=$E96) * (Begroting!$Q$18:$Q$40)) + SUMPRODUCT((Begroting!$B$152:$B$172=$E96) * (Begroting!$Q$152:$Q$172)) )*'Mijlpaal Berekening'!H54</f>
        <v>0</v>
      </c>
      <c r="P96" s="782" cm="1">
        <f t="array" ref="P96">( SUMPRODUCT((Begroting!$B$18:$B$40=$E96) * (Begroting!$Q$18:$Q$40)) + SUMPRODUCT((Begroting!$B$152:$B$172=$E96) * (Begroting!$Q$152:$Q$172)) )*'Mijlpaal Berekening'!I54</f>
        <v>0</v>
      </c>
      <c r="Q96" s="784" cm="1">
        <f t="array" ref="Q96">( SUMPRODUCT((Begroting!$B$18:$B$40=$E96) * (Begroting!$Q$18:$Q$40)) + SUMPRODUCT((Begroting!$B$152:$B$172=$E96) * (Begroting!$Q$152:$Q$172)) )*'Mijlpaal Berekening'!J54</f>
        <v>0</v>
      </c>
      <c r="R96" s="782"/>
      <c r="S96" s="782"/>
      <c r="T96" s="764"/>
      <c r="U96" s="764"/>
      <c r="V96" s="764"/>
      <c r="W96" s="764"/>
      <c r="X96" s="764"/>
      <c r="Y96" s="764"/>
      <c r="Z96" s="764"/>
      <c r="AA96" s="764"/>
      <c r="AB96" s="764"/>
      <c r="AC96" s="764"/>
      <c r="AD96" s="764"/>
      <c r="AE96" s="764"/>
      <c r="AF96" s="764"/>
      <c r="AG96" s="764"/>
      <c r="AH96" s="764"/>
      <c r="AI96" s="764"/>
      <c r="AJ96" s="764"/>
      <c r="AK96" s="764"/>
      <c r="AL96" s="764"/>
      <c r="AM96" s="764"/>
      <c r="AN96" s="764"/>
      <c r="AO96" s="731"/>
    </row>
    <row r="97" spans="1:41" s="762" customFormat="1" hidden="1" outlineLevel="1" x14ac:dyDescent="0.25">
      <c r="A97" s="773"/>
      <c r="E97" s="767">
        <v>5</v>
      </c>
      <c r="F97" s="764"/>
      <c r="G97" s="757"/>
      <c r="H97" s="770"/>
      <c r="I97" s="770"/>
      <c r="J97" s="783" cm="1">
        <f t="array" ref="J97">( SUMPRODUCT((Begroting!$B$18:$B$40=$E97) * (Begroting!$Q$18:$Q$40)) + SUMPRODUCT((Begroting!$B$152:$B$172=$E97) * (Begroting!$Q$152:$Q$172)) )*'Mijlpaal Berekening'!C55</f>
        <v>0</v>
      </c>
      <c r="K97" s="782" cm="1">
        <f t="array" ref="K97">( SUMPRODUCT((Begroting!$B$18:$B$40=$E97) * (Begroting!$Q$18:$Q$40)) + SUMPRODUCT((Begroting!$B$152:$B$172=$E97) * (Begroting!$Q$152:$Q$172)) )*'Mijlpaal Berekening'!D55</f>
        <v>0</v>
      </c>
      <c r="L97" s="782" cm="1">
        <f t="array" ref="L97">( SUMPRODUCT((Begroting!$B$18:$B$40=$E97) * (Begroting!$Q$18:$Q$40)) + SUMPRODUCT((Begroting!$B$152:$B$172=$E97) * (Begroting!$Q$152:$Q$172)) )*'Mijlpaal Berekening'!E55</f>
        <v>0</v>
      </c>
      <c r="M97" s="782" cm="1">
        <f t="array" ref="M97">( SUMPRODUCT((Begroting!$B$18:$B$40=$E97) * (Begroting!$Q$18:$Q$40)) + SUMPRODUCT((Begroting!$B$152:$B$172=$E97) * (Begroting!$Q$152:$Q$172)) )*'Mijlpaal Berekening'!F55</f>
        <v>0</v>
      </c>
      <c r="N97" s="782" cm="1">
        <f t="array" ref="N97">( SUMPRODUCT((Begroting!$B$18:$B$40=$E97) * (Begroting!$Q$18:$Q$40)) + SUMPRODUCT((Begroting!$B$152:$B$172=$E97) * (Begroting!$Q$152:$Q$172)) )*'Mijlpaal Berekening'!G55</f>
        <v>0</v>
      </c>
      <c r="O97" s="782" cm="1">
        <f t="array" ref="O97">( SUMPRODUCT((Begroting!$B$18:$B$40=$E97) * (Begroting!$Q$18:$Q$40)) + SUMPRODUCT((Begroting!$B$152:$B$172=$E97) * (Begroting!$Q$152:$Q$172)) )*'Mijlpaal Berekening'!H55</f>
        <v>0</v>
      </c>
      <c r="P97" s="782" cm="1">
        <f t="array" ref="P97">( SUMPRODUCT((Begroting!$B$18:$B$40=$E97) * (Begroting!$Q$18:$Q$40)) + SUMPRODUCT((Begroting!$B$152:$B$172=$E97) * (Begroting!$Q$152:$Q$172)) )*'Mijlpaal Berekening'!I55</f>
        <v>0</v>
      </c>
      <c r="Q97" s="784" cm="1">
        <f t="array" ref="Q97">( SUMPRODUCT((Begroting!$B$18:$B$40=$E97) * (Begroting!$Q$18:$Q$40)) + SUMPRODUCT((Begroting!$B$152:$B$172=$E97) * (Begroting!$Q$152:$Q$172)) )*'Mijlpaal Berekening'!J55</f>
        <v>0</v>
      </c>
      <c r="R97" s="782"/>
      <c r="S97" s="782"/>
      <c r="T97" s="764"/>
      <c r="U97" s="764"/>
      <c r="V97" s="764"/>
      <c r="W97" s="764"/>
      <c r="X97" s="764"/>
      <c r="Y97" s="764"/>
      <c r="Z97" s="764"/>
      <c r="AA97" s="764"/>
      <c r="AB97" s="764"/>
      <c r="AC97" s="764"/>
      <c r="AD97" s="764"/>
      <c r="AE97" s="764"/>
      <c r="AF97" s="764"/>
      <c r="AG97" s="764"/>
      <c r="AH97" s="764"/>
      <c r="AI97" s="764"/>
      <c r="AJ97" s="764"/>
      <c r="AK97" s="764"/>
      <c r="AL97" s="764"/>
      <c r="AM97" s="764"/>
      <c r="AN97" s="764"/>
      <c r="AO97" s="731"/>
    </row>
    <row r="98" spans="1:41" s="762" customFormat="1" hidden="1" outlineLevel="1" x14ac:dyDescent="0.25">
      <c r="A98" s="773"/>
      <c r="E98" s="767">
        <v>6</v>
      </c>
      <c r="F98" s="764"/>
      <c r="G98" s="757"/>
      <c r="H98" s="770"/>
      <c r="I98" s="770"/>
      <c r="J98" s="783" cm="1">
        <f t="array" ref="J98">( SUMPRODUCT((Begroting!$B$18:$B$40=$E98) * (Begroting!$Q$18:$Q$40)) + SUMPRODUCT((Begroting!$B$152:$B$172=$E98) * (Begroting!$Q$152:$Q$172)) )*'Mijlpaal Berekening'!C56</f>
        <v>0</v>
      </c>
      <c r="K98" s="782" cm="1">
        <f t="array" ref="K98">( SUMPRODUCT((Begroting!$B$18:$B$40=$E98) * (Begroting!$Q$18:$Q$40)) + SUMPRODUCT((Begroting!$B$152:$B$172=$E98) * (Begroting!$Q$152:$Q$172)) )*'Mijlpaal Berekening'!D56</f>
        <v>0</v>
      </c>
      <c r="L98" s="782" cm="1">
        <f t="array" ref="L98">( SUMPRODUCT((Begroting!$B$18:$B$40=$E98) * (Begroting!$Q$18:$Q$40)) + SUMPRODUCT((Begroting!$B$152:$B$172=$E98) * (Begroting!$Q$152:$Q$172)) )*'Mijlpaal Berekening'!E56</f>
        <v>0</v>
      </c>
      <c r="M98" s="782" cm="1">
        <f t="array" ref="M98">( SUMPRODUCT((Begroting!$B$18:$B$40=$E98) * (Begroting!$Q$18:$Q$40)) + SUMPRODUCT((Begroting!$B$152:$B$172=$E98) * (Begroting!$Q$152:$Q$172)) )*'Mijlpaal Berekening'!F56</f>
        <v>0</v>
      </c>
      <c r="N98" s="782" cm="1">
        <f t="array" ref="N98">( SUMPRODUCT((Begroting!$B$18:$B$40=$E98) * (Begroting!$Q$18:$Q$40)) + SUMPRODUCT((Begroting!$B$152:$B$172=$E98) * (Begroting!$Q$152:$Q$172)) )*'Mijlpaal Berekening'!G56</f>
        <v>0</v>
      </c>
      <c r="O98" s="782" cm="1">
        <f t="array" ref="O98">( SUMPRODUCT((Begroting!$B$18:$B$40=$E98) * (Begroting!$Q$18:$Q$40)) + SUMPRODUCT((Begroting!$B$152:$B$172=$E98) * (Begroting!$Q$152:$Q$172)) )*'Mijlpaal Berekening'!H56</f>
        <v>0</v>
      </c>
      <c r="P98" s="782" cm="1">
        <f t="array" ref="P98">( SUMPRODUCT((Begroting!$B$18:$B$40=$E98) * (Begroting!$Q$18:$Q$40)) + SUMPRODUCT((Begroting!$B$152:$B$172=$E98) * (Begroting!$Q$152:$Q$172)) )*'Mijlpaal Berekening'!I56</f>
        <v>0</v>
      </c>
      <c r="Q98" s="784" cm="1">
        <f t="array" ref="Q98">( SUMPRODUCT((Begroting!$B$18:$B$40=$E98) * (Begroting!$Q$18:$Q$40)) + SUMPRODUCT((Begroting!$B$152:$B$172=$E98) * (Begroting!$Q$152:$Q$172)) )*'Mijlpaal Berekening'!J56</f>
        <v>0</v>
      </c>
      <c r="R98" s="782"/>
      <c r="S98" s="782"/>
      <c r="T98" s="764"/>
      <c r="U98" s="764"/>
      <c r="V98" s="764"/>
      <c r="W98" s="764"/>
      <c r="X98" s="764"/>
      <c r="Y98" s="764"/>
      <c r="Z98" s="764"/>
      <c r="AA98" s="764"/>
      <c r="AB98" s="764"/>
      <c r="AC98" s="764"/>
      <c r="AD98" s="764"/>
      <c r="AE98" s="764"/>
      <c r="AF98" s="764"/>
      <c r="AG98" s="764"/>
      <c r="AH98" s="764"/>
      <c r="AI98" s="764"/>
      <c r="AJ98" s="764"/>
      <c r="AK98" s="764"/>
      <c r="AL98" s="764"/>
      <c r="AM98" s="764"/>
      <c r="AN98" s="764"/>
      <c r="AO98" s="731"/>
    </row>
    <row r="99" spans="1:41" s="762" customFormat="1" hidden="1" outlineLevel="1" x14ac:dyDescent="0.25">
      <c r="A99" s="773"/>
      <c r="E99" s="767">
        <v>7</v>
      </c>
      <c r="F99" s="764"/>
      <c r="G99" s="757"/>
      <c r="H99" s="770"/>
      <c r="I99" s="770"/>
      <c r="J99" s="783" cm="1">
        <f t="array" ref="J99">( SUMPRODUCT((Begroting!$B$18:$B$40=$E99) * (Begroting!$Q$18:$Q$40)) + SUMPRODUCT((Begroting!$B$152:$B$172=$E99) * (Begroting!$Q$152:$Q$172)) )*'Mijlpaal Berekening'!C57</f>
        <v>0</v>
      </c>
      <c r="K99" s="782" cm="1">
        <f t="array" ref="K99">( SUMPRODUCT((Begroting!$B$18:$B$40=$E99) * (Begroting!$Q$18:$Q$40)) + SUMPRODUCT((Begroting!$B$152:$B$172=$E99) * (Begroting!$Q$152:$Q$172)) )*'Mijlpaal Berekening'!D57</f>
        <v>0</v>
      </c>
      <c r="L99" s="782" cm="1">
        <f t="array" ref="L99">( SUMPRODUCT((Begroting!$B$18:$B$40=$E99) * (Begroting!$Q$18:$Q$40)) + SUMPRODUCT((Begroting!$B$152:$B$172=$E99) * (Begroting!$Q$152:$Q$172)) )*'Mijlpaal Berekening'!E57</f>
        <v>0</v>
      </c>
      <c r="M99" s="782" cm="1">
        <f t="array" ref="M99">( SUMPRODUCT((Begroting!$B$18:$B$40=$E99) * (Begroting!$Q$18:$Q$40)) + SUMPRODUCT((Begroting!$B$152:$B$172=$E99) * (Begroting!$Q$152:$Q$172)) )*'Mijlpaal Berekening'!F57</f>
        <v>0</v>
      </c>
      <c r="N99" s="782" cm="1">
        <f t="array" ref="N99">( SUMPRODUCT((Begroting!$B$18:$B$40=$E99) * (Begroting!$Q$18:$Q$40)) + SUMPRODUCT((Begroting!$B$152:$B$172=$E99) * (Begroting!$Q$152:$Q$172)) )*'Mijlpaal Berekening'!G57</f>
        <v>0</v>
      </c>
      <c r="O99" s="782" cm="1">
        <f t="array" ref="O99">( SUMPRODUCT((Begroting!$B$18:$B$40=$E99) * (Begroting!$Q$18:$Q$40)) + SUMPRODUCT((Begroting!$B$152:$B$172=$E99) * (Begroting!$Q$152:$Q$172)) )*'Mijlpaal Berekening'!H57</f>
        <v>0</v>
      </c>
      <c r="P99" s="782" cm="1">
        <f t="array" ref="P99">( SUMPRODUCT((Begroting!$B$18:$B$40=$E99) * (Begroting!$Q$18:$Q$40)) + SUMPRODUCT((Begroting!$B$152:$B$172=$E99) * (Begroting!$Q$152:$Q$172)) )*'Mijlpaal Berekening'!I57</f>
        <v>0</v>
      </c>
      <c r="Q99" s="784" cm="1">
        <f t="array" ref="Q99">( SUMPRODUCT((Begroting!$B$18:$B$40=$E99) * (Begroting!$Q$18:$Q$40)) + SUMPRODUCT((Begroting!$B$152:$B$172=$E99) * (Begroting!$Q$152:$Q$172)) )*'Mijlpaal Berekening'!J57</f>
        <v>0</v>
      </c>
      <c r="R99" s="782"/>
      <c r="S99" s="782"/>
      <c r="T99" s="764"/>
      <c r="U99" s="764"/>
      <c r="V99" s="764"/>
      <c r="W99" s="764"/>
      <c r="X99" s="764"/>
      <c r="Y99" s="764"/>
      <c r="Z99" s="764"/>
      <c r="AA99" s="764"/>
      <c r="AB99" s="764"/>
      <c r="AC99" s="764"/>
      <c r="AD99" s="764"/>
      <c r="AE99" s="764"/>
      <c r="AF99" s="764"/>
      <c r="AG99" s="764"/>
      <c r="AH99" s="764"/>
      <c r="AI99" s="764"/>
      <c r="AJ99" s="764"/>
      <c r="AK99" s="764"/>
      <c r="AL99" s="764"/>
      <c r="AM99" s="764"/>
      <c r="AN99" s="764"/>
      <c r="AO99" s="731"/>
    </row>
    <row r="100" spans="1:41" s="762" customFormat="1" hidden="1" outlineLevel="1" x14ac:dyDescent="0.25">
      <c r="A100" s="773"/>
      <c r="E100" s="767">
        <v>8</v>
      </c>
      <c r="F100" s="764"/>
      <c r="G100" s="757"/>
      <c r="H100" s="770"/>
      <c r="I100" s="770"/>
      <c r="J100" s="783" cm="1">
        <f t="array" ref="J100">( SUMPRODUCT((Begroting!$B$18:$B$40=$E100) * (Begroting!$Q$18:$Q$40)) + SUMPRODUCT((Begroting!$B$152:$B$172=$E100) * (Begroting!$Q$152:$Q$172)) )*'Mijlpaal Berekening'!C58</f>
        <v>0</v>
      </c>
      <c r="K100" s="782" cm="1">
        <f t="array" ref="K100">( SUMPRODUCT((Begroting!$B$18:$B$40=$E100) * (Begroting!$Q$18:$Q$40)) + SUMPRODUCT((Begroting!$B$152:$B$172=$E100) * (Begroting!$Q$152:$Q$172)) )*'Mijlpaal Berekening'!D58</f>
        <v>0</v>
      </c>
      <c r="L100" s="782" cm="1">
        <f t="array" ref="L100">( SUMPRODUCT((Begroting!$B$18:$B$40=$E100) * (Begroting!$Q$18:$Q$40)) + SUMPRODUCT((Begroting!$B$152:$B$172=$E100) * (Begroting!$Q$152:$Q$172)) )*'Mijlpaal Berekening'!E58</f>
        <v>0</v>
      </c>
      <c r="M100" s="782" cm="1">
        <f t="array" ref="M100">( SUMPRODUCT((Begroting!$B$18:$B$40=$E100) * (Begroting!$Q$18:$Q$40)) + SUMPRODUCT((Begroting!$B$152:$B$172=$E100) * (Begroting!$Q$152:$Q$172)) )*'Mijlpaal Berekening'!F58</f>
        <v>0</v>
      </c>
      <c r="N100" s="782" cm="1">
        <f t="array" ref="N100">( SUMPRODUCT((Begroting!$B$18:$B$40=$E100) * (Begroting!$Q$18:$Q$40)) + SUMPRODUCT((Begroting!$B$152:$B$172=$E100) * (Begroting!$Q$152:$Q$172)) )*'Mijlpaal Berekening'!G58</f>
        <v>0</v>
      </c>
      <c r="O100" s="782" cm="1">
        <f t="array" ref="O100">( SUMPRODUCT((Begroting!$B$18:$B$40=$E100) * (Begroting!$Q$18:$Q$40)) + SUMPRODUCT((Begroting!$B$152:$B$172=$E100) * (Begroting!$Q$152:$Q$172)) )*'Mijlpaal Berekening'!H58</f>
        <v>0</v>
      </c>
      <c r="P100" s="782" cm="1">
        <f t="array" ref="P100">( SUMPRODUCT((Begroting!$B$18:$B$40=$E100) * (Begroting!$Q$18:$Q$40)) + SUMPRODUCT((Begroting!$B$152:$B$172=$E100) * (Begroting!$Q$152:$Q$172)) )*'Mijlpaal Berekening'!I58</f>
        <v>0</v>
      </c>
      <c r="Q100" s="784" cm="1">
        <f t="array" ref="Q100">( SUMPRODUCT((Begroting!$B$18:$B$40=$E100) * (Begroting!$Q$18:$Q$40)) + SUMPRODUCT((Begroting!$B$152:$B$172=$E100) * (Begroting!$Q$152:$Q$172)) )*'Mijlpaal Berekening'!J58</f>
        <v>0</v>
      </c>
      <c r="R100" s="782"/>
      <c r="S100" s="782"/>
      <c r="T100" s="764"/>
      <c r="U100" s="764"/>
      <c r="V100" s="764"/>
      <c r="W100" s="764"/>
      <c r="X100" s="764"/>
      <c r="Y100" s="764"/>
      <c r="Z100" s="764"/>
      <c r="AA100" s="764"/>
      <c r="AB100" s="764"/>
      <c r="AC100" s="764"/>
      <c r="AD100" s="764"/>
      <c r="AE100" s="764"/>
      <c r="AF100" s="764"/>
      <c r="AG100" s="764"/>
      <c r="AH100" s="764"/>
      <c r="AI100" s="764"/>
      <c r="AJ100" s="764"/>
      <c r="AK100" s="764"/>
      <c r="AL100" s="764"/>
      <c r="AM100" s="764"/>
      <c r="AN100" s="764"/>
      <c r="AO100" s="731"/>
    </row>
    <row r="101" spans="1:41" s="762" customFormat="1" hidden="1" outlineLevel="1" x14ac:dyDescent="0.25">
      <c r="A101" s="773"/>
      <c r="E101" s="767">
        <v>9</v>
      </c>
      <c r="F101" s="764"/>
      <c r="G101" s="757"/>
      <c r="H101" s="770"/>
      <c r="I101" s="770"/>
      <c r="J101" s="783" cm="1">
        <f t="array" ref="J101">( SUMPRODUCT((Begroting!$B$18:$B$40=$E101) * (Begroting!$Q$18:$Q$40)) + SUMPRODUCT((Begroting!$B$152:$B$172=$E101) * (Begroting!$Q$152:$Q$172)) )*'Mijlpaal Berekening'!C59</f>
        <v>0</v>
      </c>
      <c r="K101" s="782" cm="1">
        <f t="array" ref="K101">( SUMPRODUCT((Begroting!$B$18:$B$40=$E101) * (Begroting!$Q$18:$Q$40)) + SUMPRODUCT((Begroting!$B$152:$B$172=$E101) * (Begroting!$Q$152:$Q$172)) )*'Mijlpaal Berekening'!D59</f>
        <v>0</v>
      </c>
      <c r="L101" s="782" cm="1">
        <f t="array" ref="L101">( SUMPRODUCT((Begroting!$B$18:$B$40=$E101) * (Begroting!$Q$18:$Q$40)) + SUMPRODUCT((Begroting!$B$152:$B$172=$E101) * (Begroting!$Q$152:$Q$172)) )*'Mijlpaal Berekening'!E59</f>
        <v>0</v>
      </c>
      <c r="M101" s="782" cm="1">
        <f t="array" ref="M101">( SUMPRODUCT((Begroting!$B$18:$B$40=$E101) * (Begroting!$Q$18:$Q$40)) + SUMPRODUCT((Begroting!$B$152:$B$172=$E101) * (Begroting!$Q$152:$Q$172)) )*'Mijlpaal Berekening'!F59</f>
        <v>0</v>
      </c>
      <c r="N101" s="782" cm="1">
        <f t="array" ref="N101">( SUMPRODUCT((Begroting!$B$18:$B$40=$E101) * (Begroting!$Q$18:$Q$40)) + SUMPRODUCT((Begroting!$B$152:$B$172=$E101) * (Begroting!$Q$152:$Q$172)) )*'Mijlpaal Berekening'!G59</f>
        <v>0</v>
      </c>
      <c r="O101" s="782" cm="1">
        <f t="array" ref="O101">( SUMPRODUCT((Begroting!$B$18:$B$40=$E101) * (Begroting!$Q$18:$Q$40)) + SUMPRODUCT((Begroting!$B$152:$B$172=$E101) * (Begroting!$Q$152:$Q$172)) )*'Mijlpaal Berekening'!H59</f>
        <v>0</v>
      </c>
      <c r="P101" s="782" cm="1">
        <f t="array" ref="P101">( SUMPRODUCT((Begroting!$B$18:$B$40=$E101) * (Begroting!$Q$18:$Q$40)) + SUMPRODUCT((Begroting!$B$152:$B$172=$E101) * (Begroting!$Q$152:$Q$172)) )*'Mijlpaal Berekening'!I59</f>
        <v>0</v>
      </c>
      <c r="Q101" s="784" cm="1">
        <f t="array" ref="Q101">( SUMPRODUCT((Begroting!$B$18:$B$40=$E101) * (Begroting!$Q$18:$Q$40)) + SUMPRODUCT((Begroting!$B$152:$B$172=$E101) * (Begroting!$Q$152:$Q$172)) )*'Mijlpaal Berekening'!J59</f>
        <v>0</v>
      </c>
      <c r="R101" s="782"/>
      <c r="S101" s="782"/>
      <c r="T101" s="764"/>
      <c r="U101" s="764"/>
      <c r="V101" s="764"/>
      <c r="W101" s="764"/>
      <c r="X101" s="764"/>
      <c r="Y101" s="764"/>
      <c r="Z101" s="764"/>
      <c r="AA101" s="764"/>
      <c r="AB101" s="764"/>
      <c r="AC101" s="764"/>
      <c r="AD101" s="764"/>
      <c r="AE101" s="764"/>
      <c r="AF101" s="764"/>
      <c r="AG101" s="764"/>
      <c r="AH101" s="764"/>
      <c r="AI101" s="764"/>
      <c r="AJ101" s="764"/>
      <c r="AK101" s="764"/>
      <c r="AL101" s="764"/>
      <c r="AM101" s="764"/>
      <c r="AN101" s="764"/>
      <c r="AO101" s="731"/>
    </row>
    <row r="102" spans="1:41" s="762" customFormat="1" hidden="1" outlineLevel="1" x14ac:dyDescent="0.25">
      <c r="A102" s="773"/>
      <c r="E102" s="767">
        <v>10</v>
      </c>
      <c r="F102" s="764"/>
      <c r="G102" s="757"/>
      <c r="H102" s="770"/>
      <c r="I102" s="770"/>
      <c r="J102" s="783" cm="1">
        <f t="array" ref="J102">( SUMPRODUCT((Begroting!$B$18:$B$40=$E102) * (Begroting!$Q$18:$Q$40)) + SUMPRODUCT((Begroting!$B$152:$B$172=$E102) * (Begroting!$Q$152:$Q$172)) )*'Mijlpaal Berekening'!C60</f>
        <v>0</v>
      </c>
      <c r="K102" s="782" cm="1">
        <f t="array" ref="K102">( SUMPRODUCT((Begroting!$B$18:$B$40=$E102) * (Begroting!$Q$18:$Q$40)) + SUMPRODUCT((Begroting!$B$152:$B$172=$E102) * (Begroting!$Q$152:$Q$172)) )*'Mijlpaal Berekening'!D60</f>
        <v>0</v>
      </c>
      <c r="L102" s="782" cm="1">
        <f t="array" ref="L102">( SUMPRODUCT((Begroting!$B$18:$B$40=$E102) * (Begroting!$Q$18:$Q$40)) + SUMPRODUCT((Begroting!$B$152:$B$172=$E102) * (Begroting!$Q$152:$Q$172)) )*'Mijlpaal Berekening'!E60</f>
        <v>0</v>
      </c>
      <c r="M102" s="782" cm="1">
        <f t="array" ref="M102">( SUMPRODUCT((Begroting!$B$18:$B$40=$E102) * (Begroting!$Q$18:$Q$40)) + SUMPRODUCT((Begroting!$B$152:$B$172=$E102) * (Begroting!$Q$152:$Q$172)) )*'Mijlpaal Berekening'!F60</f>
        <v>0</v>
      </c>
      <c r="N102" s="782" cm="1">
        <f t="array" ref="N102">( SUMPRODUCT((Begroting!$B$18:$B$40=$E102) * (Begroting!$Q$18:$Q$40)) + SUMPRODUCT((Begroting!$B$152:$B$172=$E102) * (Begroting!$Q$152:$Q$172)) )*'Mijlpaal Berekening'!G60</f>
        <v>0</v>
      </c>
      <c r="O102" s="782" cm="1">
        <f t="array" ref="O102">( SUMPRODUCT((Begroting!$B$18:$B$40=$E102) * (Begroting!$Q$18:$Q$40)) + SUMPRODUCT((Begroting!$B$152:$B$172=$E102) * (Begroting!$Q$152:$Q$172)) )*'Mijlpaal Berekening'!H60</f>
        <v>0</v>
      </c>
      <c r="P102" s="782" cm="1">
        <f t="array" ref="P102">( SUMPRODUCT((Begroting!$B$18:$B$40=$E102) * (Begroting!$Q$18:$Q$40)) + SUMPRODUCT((Begroting!$B$152:$B$172=$E102) * (Begroting!$Q$152:$Q$172)) )*'Mijlpaal Berekening'!I60</f>
        <v>0</v>
      </c>
      <c r="Q102" s="784" cm="1">
        <f t="array" ref="Q102">( SUMPRODUCT((Begroting!$B$18:$B$40=$E102) * (Begroting!$Q$18:$Q$40)) + SUMPRODUCT((Begroting!$B$152:$B$172=$E102) * (Begroting!$Q$152:$Q$172)) )*'Mijlpaal Berekening'!J60</f>
        <v>0</v>
      </c>
      <c r="R102" s="782"/>
      <c r="S102" s="782"/>
      <c r="T102" s="764"/>
      <c r="U102" s="764"/>
      <c r="V102" s="764"/>
      <c r="W102" s="764"/>
      <c r="X102" s="764"/>
      <c r="Y102" s="764"/>
      <c r="Z102" s="764"/>
      <c r="AA102" s="764"/>
      <c r="AB102" s="764"/>
      <c r="AC102" s="764"/>
      <c r="AD102" s="764"/>
      <c r="AE102" s="764"/>
      <c r="AF102" s="764"/>
      <c r="AG102" s="764"/>
      <c r="AH102" s="764"/>
      <c r="AI102" s="764"/>
      <c r="AJ102" s="764"/>
      <c r="AK102" s="764"/>
      <c r="AL102" s="764"/>
      <c r="AM102" s="764"/>
      <c r="AN102" s="764"/>
      <c r="AO102" s="731"/>
    </row>
    <row r="103" spans="1:41" s="762" customFormat="1" hidden="1" outlineLevel="1" x14ac:dyDescent="0.25">
      <c r="A103" s="773"/>
      <c r="E103" s="767">
        <v>11</v>
      </c>
      <c r="F103" s="764"/>
      <c r="G103" s="757"/>
      <c r="H103" s="770"/>
      <c r="I103" s="770"/>
      <c r="J103" s="783" cm="1">
        <f t="array" ref="J103">( SUMPRODUCT((Begroting!$B$18:$B$40=$E103) * (Begroting!$Q$18:$Q$40)) + SUMPRODUCT((Begroting!$B$152:$B$172=$E103) * (Begroting!$Q$152:$Q$172)) )*'Mijlpaal Berekening'!C61</f>
        <v>0</v>
      </c>
      <c r="K103" s="782" cm="1">
        <f t="array" ref="K103">( SUMPRODUCT((Begroting!$B$18:$B$40=$E103) * (Begroting!$Q$18:$Q$40)) + SUMPRODUCT((Begroting!$B$152:$B$172=$E103) * (Begroting!$Q$152:$Q$172)) )*'Mijlpaal Berekening'!D61</f>
        <v>0</v>
      </c>
      <c r="L103" s="782" cm="1">
        <f t="array" ref="L103">( SUMPRODUCT((Begroting!$B$18:$B$40=$E103) * (Begroting!$Q$18:$Q$40)) + SUMPRODUCT((Begroting!$B$152:$B$172=$E103) * (Begroting!$Q$152:$Q$172)) )*'Mijlpaal Berekening'!E61</f>
        <v>0</v>
      </c>
      <c r="M103" s="782" cm="1">
        <f t="array" ref="M103">( SUMPRODUCT((Begroting!$B$18:$B$40=$E103) * (Begroting!$Q$18:$Q$40)) + SUMPRODUCT((Begroting!$B$152:$B$172=$E103) * (Begroting!$Q$152:$Q$172)) )*'Mijlpaal Berekening'!F61</f>
        <v>0</v>
      </c>
      <c r="N103" s="782" cm="1">
        <f t="array" ref="N103">( SUMPRODUCT((Begroting!$B$18:$B$40=$E103) * (Begroting!$Q$18:$Q$40)) + SUMPRODUCT((Begroting!$B$152:$B$172=$E103) * (Begroting!$Q$152:$Q$172)) )*'Mijlpaal Berekening'!G61</f>
        <v>0</v>
      </c>
      <c r="O103" s="782" cm="1">
        <f t="array" ref="O103">( SUMPRODUCT((Begroting!$B$18:$B$40=$E103) * (Begroting!$Q$18:$Q$40)) + SUMPRODUCT((Begroting!$B$152:$B$172=$E103) * (Begroting!$Q$152:$Q$172)) )*'Mijlpaal Berekening'!H61</f>
        <v>0</v>
      </c>
      <c r="P103" s="782" cm="1">
        <f t="array" ref="P103">( SUMPRODUCT((Begroting!$B$18:$B$40=$E103) * (Begroting!$Q$18:$Q$40)) + SUMPRODUCT((Begroting!$B$152:$B$172=$E103) * (Begroting!$Q$152:$Q$172)) )*'Mijlpaal Berekening'!I61</f>
        <v>0</v>
      </c>
      <c r="Q103" s="784" cm="1">
        <f t="array" ref="Q103">( SUMPRODUCT((Begroting!$B$18:$B$40=$E103) * (Begroting!$Q$18:$Q$40)) + SUMPRODUCT((Begroting!$B$152:$B$172=$E103) * (Begroting!$Q$152:$Q$172)) )*'Mijlpaal Berekening'!J61</f>
        <v>0</v>
      </c>
      <c r="R103" s="782"/>
      <c r="S103" s="782"/>
      <c r="T103" s="764"/>
      <c r="U103" s="764"/>
      <c r="V103" s="764"/>
      <c r="W103" s="764"/>
      <c r="X103" s="764"/>
      <c r="Y103" s="764"/>
      <c r="Z103" s="764"/>
      <c r="AA103" s="764"/>
      <c r="AB103" s="764"/>
      <c r="AC103" s="764"/>
      <c r="AD103" s="764"/>
      <c r="AE103" s="764"/>
      <c r="AF103" s="764"/>
      <c r="AG103" s="764"/>
      <c r="AH103" s="764"/>
      <c r="AI103" s="764"/>
      <c r="AJ103" s="764"/>
      <c r="AK103" s="764"/>
      <c r="AL103" s="764"/>
      <c r="AM103" s="764"/>
      <c r="AN103" s="764"/>
      <c r="AO103" s="731"/>
    </row>
    <row r="104" spans="1:41" s="762" customFormat="1" hidden="1" outlineLevel="1" x14ac:dyDescent="0.25">
      <c r="A104" s="773"/>
      <c r="E104" s="767">
        <v>12</v>
      </c>
      <c r="F104" s="764"/>
      <c r="G104" s="757"/>
      <c r="H104" s="770"/>
      <c r="I104" s="770"/>
      <c r="J104" s="783" cm="1">
        <f t="array" ref="J104">( SUMPRODUCT((Begroting!$B$18:$B$40=$E104) * (Begroting!$Q$18:$Q$40)) + SUMPRODUCT((Begroting!$B$152:$B$172=$E104) * (Begroting!$Q$152:$Q$172)) )*'Mijlpaal Berekening'!C62</f>
        <v>0</v>
      </c>
      <c r="K104" s="782" cm="1">
        <f t="array" ref="K104">( SUMPRODUCT((Begroting!$B$18:$B$40=$E104) * (Begroting!$Q$18:$Q$40)) + SUMPRODUCT((Begroting!$B$152:$B$172=$E104) * (Begroting!$Q$152:$Q$172)) )*'Mijlpaal Berekening'!D62</f>
        <v>0</v>
      </c>
      <c r="L104" s="782" cm="1">
        <f t="array" ref="L104">( SUMPRODUCT((Begroting!$B$18:$B$40=$E104) * (Begroting!$Q$18:$Q$40)) + SUMPRODUCT((Begroting!$B$152:$B$172=$E104) * (Begroting!$Q$152:$Q$172)) )*'Mijlpaal Berekening'!E62</f>
        <v>0</v>
      </c>
      <c r="M104" s="782" cm="1">
        <f t="array" ref="M104">( SUMPRODUCT((Begroting!$B$18:$B$40=$E104) * (Begroting!$Q$18:$Q$40)) + SUMPRODUCT((Begroting!$B$152:$B$172=$E104) * (Begroting!$Q$152:$Q$172)) )*'Mijlpaal Berekening'!F62</f>
        <v>0</v>
      </c>
      <c r="N104" s="782" cm="1">
        <f t="array" ref="N104">( SUMPRODUCT((Begroting!$B$18:$B$40=$E104) * (Begroting!$Q$18:$Q$40)) + SUMPRODUCT((Begroting!$B$152:$B$172=$E104) * (Begroting!$Q$152:$Q$172)) )*'Mijlpaal Berekening'!G62</f>
        <v>0</v>
      </c>
      <c r="O104" s="782" cm="1">
        <f t="array" ref="O104">( SUMPRODUCT((Begroting!$B$18:$B$40=$E104) * (Begroting!$Q$18:$Q$40)) + SUMPRODUCT((Begroting!$B$152:$B$172=$E104) * (Begroting!$Q$152:$Q$172)) )*'Mijlpaal Berekening'!H62</f>
        <v>0</v>
      </c>
      <c r="P104" s="782" cm="1">
        <f t="array" ref="P104">( SUMPRODUCT((Begroting!$B$18:$B$40=$E104) * (Begroting!$Q$18:$Q$40)) + SUMPRODUCT((Begroting!$B$152:$B$172=$E104) * (Begroting!$Q$152:$Q$172)) )*'Mijlpaal Berekening'!I62</f>
        <v>0</v>
      </c>
      <c r="Q104" s="784" cm="1">
        <f t="array" ref="Q104">( SUMPRODUCT((Begroting!$B$18:$B$40=$E104) * (Begroting!$Q$18:$Q$40)) + SUMPRODUCT((Begroting!$B$152:$B$172=$E104) * (Begroting!$Q$152:$Q$172)) )*'Mijlpaal Berekening'!J62</f>
        <v>0</v>
      </c>
      <c r="R104" s="782"/>
      <c r="S104" s="782"/>
      <c r="T104" s="764"/>
      <c r="U104" s="764"/>
      <c r="V104" s="764"/>
      <c r="W104" s="764"/>
      <c r="X104" s="764"/>
      <c r="Y104" s="764"/>
      <c r="Z104" s="764"/>
      <c r="AA104" s="764"/>
      <c r="AB104" s="764"/>
      <c r="AC104" s="764"/>
      <c r="AD104" s="764"/>
      <c r="AE104" s="764"/>
      <c r="AF104" s="764"/>
      <c r="AG104" s="764"/>
      <c r="AH104" s="764"/>
      <c r="AI104" s="764"/>
      <c r="AJ104" s="764"/>
      <c r="AK104" s="764"/>
      <c r="AL104" s="764"/>
      <c r="AM104" s="764"/>
      <c r="AN104" s="764"/>
      <c r="AO104" s="731"/>
    </row>
    <row r="105" spans="1:41" s="762" customFormat="1" hidden="1" outlineLevel="1" x14ac:dyDescent="0.25">
      <c r="A105" s="773"/>
      <c r="E105" s="767">
        <v>13</v>
      </c>
      <c r="F105" s="764"/>
      <c r="G105" s="757"/>
      <c r="H105" s="770"/>
      <c r="I105" s="770"/>
      <c r="J105" s="783" cm="1">
        <f t="array" ref="J105">( SUMPRODUCT((Begroting!$B$18:$B$40=$E105) * (Begroting!$Q$18:$Q$40)) + SUMPRODUCT((Begroting!$B$152:$B$172=$E105) * (Begroting!$Q$152:$Q$172)) )*'Mijlpaal Berekening'!C63</f>
        <v>0</v>
      </c>
      <c r="K105" s="782" cm="1">
        <f t="array" ref="K105">( SUMPRODUCT((Begroting!$B$18:$B$40=$E105) * (Begroting!$Q$18:$Q$40)) + SUMPRODUCT((Begroting!$B$152:$B$172=$E105) * (Begroting!$Q$152:$Q$172)) )*'Mijlpaal Berekening'!D63</f>
        <v>0</v>
      </c>
      <c r="L105" s="782" cm="1">
        <f t="array" ref="L105">( SUMPRODUCT((Begroting!$B$18:$B$40=$E105) * (Begroting!$Q$18:$Q$40)) + SUMPRODUCT((Begroting!$B$152:$B$172=$E105) * (Begroting!$Q$152:$Q$172)) )*'Mijlpaal Berekening'!E63</f>
        <v>0</v>
      </c>
      <c r="M105" s="782" cm="1">
        <f t="array" ref="M105">( SUMPRODUCT((Begroting!$B$18:$B$40=$E105) * (Begroting!$Q$18:$Q$40)) + SUMPRODUCT((Begroting!$B$152:$B$172=$E105) * (Begroting!$Q$152:$Q$172)) )*'Mijlpaal Berekening'!F63</f>
        <v>0</v>
      </c>
      <c r="N105" s="782" cm="1">
        <f t="array" ref="N105">( SUMPRODUCT((Begroting!$B$18:$B$40=$E105) * (Begroting!$Q$18:$Q$40)) + SUMPRODUCT((Begroting!$B$152:$B$172=$E105) * (Begroting!$Q$152:$Q$172)) )*'Mijlpaal Berekening'!G63</f>
        <v>0</v>
      </c>
      <c r="O105" s="782" cm="1">
        <f t="array" ref="O105">( SUMPRODUCT((Begroting!$B$18:$B$40=$E105) * (Begroting!$Q$18:$Q$40)) + SUMPRODUCT((Begroting!$B$152:$B$172=$E105) * (Begroting!$Q$152:$Q$172)) )*'Mijlpaal Berekening'!H63</f>
        <v>0</v>
      </c>
      <c r="P105" s="782" cm="1">
        <f t="array" ref="P105">( SUMPRODUCT((Begroting!$B$18:$B$40=$E105) * (Begroting!$Q$18:$Q$40)) + SUMPRODUCT((Begroting!$B$152:$B$172=$E105) * (Begroting!$Q$152:$Q$172)) )*'Mijlpaal Berekening'!I63</f>
        <v>0</v>
      </c>
      <c r="Q105" s="784" cm="1">
        <f t="array" ref="Q105">( SUMPRODUCT((Begroting!$B$18:$B$40=$E105) * (Begroting!$Q$18:$Q$40)) + SUMPRODUCT((Begroting!$B$152:$B$172=$E105) * (Begroting!$Q$152:$Q$172)) )*'Mijlpaal Berekening'!J63</f>
        <v>0</v>
      </c>
      <c r="R105" s="782"/>
      <c r="S105" s="782"/>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31"/>
    </row>
    <row r="106" spans="1:41" s="762" customFormat="1" hidden="1" outlineLevel="1" x14ac:dyDescent="0.25">
      <c r="A106" s="773"/>
      <c r="E106" s="767">
        <v>14</v>
      </c>
      <c r="F106" s="764"/>
      <c r="G106" s="757"/>
      <c r="H106" s="770"/>
      <c r="I106" s="770"/>
      <c r="J106" s="783" cm="1">
        <f t="array" ref="J106">( SUMPRODUCT((Begroting!$B$18:$B$40=$E106) * (Begroting!$Q$18:$Q$40)) + SUMPRODUCT((Begroting!$B$152:$B$172=$E106) * (Begroting!$Q$152:$Q$172)) )*'Mijlpaal Berekening'!C64</f>
        <v>0</v>
      </c>
      <c r="K106" s="782" cm="1">
        <f t="array" ref="K106">( SUMPRODUCT((Begroting!$B$18:$B$40=$E106) * (Begroting!$Q$18:$Q$40)) + SUMPRODUCT((Begroting!$B$152:$B$172=$E106) * (Begroting!$Q$152:$Q$172)) )*'Mijlpaal Berekening'!D64</f>
        <v>0</v>
      </c>
      <c r="L106" s="782" cm="1">
        <f t="array" ref="L106">( SUMPRODUCT((Begroting!$B$18:$B$40=$E106) * (Begroting!$Q$18:$Q$40)) + SUMPRODUCT((Begroting!$B$152:$B$172=$E106) * (Begroting!$Q$152:$Q$172)) )*'Mijlpaal Berekening'!E64</f>
        <v>0</v>
      </c>
      <c r="M106" s="782" cm="1">
        <f t="array" ref="M106">( SUMPRODUCT((Begroting!$B$18:$B$40=$E106) * (Begroting!$Q$18:$Q$40)) + SUMPRODUCT((Begroting!$B$152:$B$172=$E106) * (Begroting!$Q$152:$Q$172)) )*'Mijlpaal Berekening'!F64</f>
        <v>0</v>
      </c>
      <c r="N106" s="782" cm="1">
        <f t="array" ref="N106">( SUMPRODUCT((Begroting!$B$18:$B$40=$E106) * (Begroting!$Q$18:$Q$40)) + SUMPRODUCT((Begroting!$B$152:$B$172=$E106) * (Begroting!$Q$152:$Q$172)) )*'Mijlpaal Berekening'!G64</f>
        <v>0</v>
      </c>
      <c r="O106" s="782" cm="1">
        <f t="array" ref="O106">( SUMPRODUCT((Begroting!$B$18:$B$40=$E106) * (Begroting!$Q$18:$Q$40)) + SUMPRODUCT((Begroting!$B$152:$B$172=$E106) * (Begroting!$Q$152:$Q$172)) )*'Mijlpaal Berekening'!H64</f>
        <v>0</v>
      </c>
      <c r="P106" s="782" cm="1">
        <f t="array" ref="P106">( SUMPRODUCT((Begroting!$B$18:$B$40=$E106) * (Begroting!$Q$18:$Q$40)) + SUMPRODUCT((Begroting!$B$152:$B$172=$E106) * (Begroting!$Q$152:$Q$172)) )*'Mijlpaal Berekening'!I64</f>
        <v>0</v>
      </c>
      <c r="Q106" s="784" cm="1">
        <f t="array" ref="Q106">( SUMPRODUCT((Begroting!$B$18:$B$40=$E106) * (Begroting!$Q$18:$Q$40)) + SUMPRODUCT((Begroting!$B$152:$B$172=$E106) * (Begroting!$Q$152:$Q$172)) )*'Mijlpaal Berekening'!J64</f>
        <v>0</v>
      </c>
      <c r="R106" s="782"/>
      <c r="S106" s="782"/>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31"/>
    </row>
    <row r="107" spans="1:41" s="762" customFormat="1" hidden="1" outlineLevel="1" x14ac:dyDescent="0.25">
      <c r="A107" s="773"/>
      <c r="E107" s="767">
        <v>15</v>
      </c>
      <c r="F107" s="764"/>
      <c r="G107" s="757"/>
      <c r="H107" s="770"/>
      <c r="I107" s="770"/>
      <c r="J107" s="783" cm="1">
        <f t="array" ref="J107">( SUMPRODUCT((Begroting!$B$18:$B$40=$E107) * (Begroting!$Q$18:$Q$40)) + SUMPRODUCT((Begroting!$B$152:$B$172=$E107) * (Begroting!$Q$152:$Q$172)) )*'Mijlpaal Berekening'!C65</f>
        <v>0</v>
      </c>
      <c r="K107" s="782" cm="1">
        <f t="array" ref="K107">( SUMPRODUCT((Begroting!$B$18:$B$40=$E107) * (Begroting!$Q$18:$Q$40)) + SUMPRODUCT((Begroting!$B$152:$B$172=$E107) * (Begroting!$Q$152:$Q$172)) )*'Mijlpaal Berekening'!D65</f>
        <v>0</v>
      </c>
      <c r="L107" s="782" cm="1">
        <f t="array" ref="L107">( SUMPRODUCT((Begroting!$B$18:$B$40=$E107) * (Begroting!$Q$18:$Q$40)) + SUMPRODUCT((Begroting!$B$152:$B$172=$E107) * (Begroting!$Q$152:$Q$172)) )*'Mijlpaal Berekening'!E65</f>
        <v>0</v>
      </c>
      <c r="M107" s="782" cm="1">
        <f t="array" ref="M107">( SUMPRODUCT((Begroting!$B$18:$B$40=$E107) * (Begroting!$Q$18:$Q$40)) + SUMPRODUCT((Begroting!$B$152:$B$172=$E107) * (Begroting!$Q$152:$Q$172)) )*'Mijlpaal Berekening'!F65</f>
        <v>0</v>
      </c>
      <c r="N107" s="782" cm="1">
        <f t="array" ref="N107">( SUMPRODUCT((Begroting!$B$18:$B$40=$E107) * (Begroting!$Q$18:$Q$40)) + SUMPRODUCT((Begroting!$B$152:$B$172=$E107) * (Begroting!$Q$152:$Q$172)) )*'Mijlpaal Berekening'!G65</f>
        <v>0</v>
      </c>
      <c r="O107" s="782" cm="1">
        <f t="array" ref="O107">( SUMPRODUCT((Begroting!$B$18:$B$40=$E107) * (Begroting!$Q$18:$Q$40)) + SUMPRODUCT((Begroting!$B$152:$B$172=$E107) * (Begroting!$Q$152:$Q$172)) )*'Mijlpaal Berekening'!H65</f>
        <v>0</v>
      </c>
      <c r="P107" s="782" cm="1">
        <f t="array" ref="P107">( SUMPRODUCT((Begroting!$B$18:$B$40=$E107) * (Begroting!$Q$18:$Q$40)) + SUMPRODUCT((Begroting!$B$152:$B$172=$E107) * (Begroting!$Q$152:$Q$172)) )*'Mijlpaal Berekening'!I65</f>
        <v>0</v>
      </c>
      <c r="Q107" s="784" cm="1">
        <f t="array" ref="Q107">( SUMPRODUCT((Begroting!$B$18:$B$40=$E107) * (Begroting!$Q$18:$Q$40)) + SUMPRODUCT((Begroting!$B$152:$B$172=$E107) * (Begroting!$Q$152:$Q$172)) )*'Mijlpaal Berekening'!J65</f>
        <v>0</v>
      </c>
      <c r="R107" s="782"/>
      <c r="S107" s="782"/>
      <c r="T107" s="764"/>
      <c r="U107" s="764"/>
      <c r="V107" s="764"/>
      <c r="W107" s="764"/>
      <c r="X107" s="764"/>
      <c r="Y107" s="764"/>
      <c r="Z107" s="764"/>
      <c r="AA107" s="764"/>
      <c r="AB107" s="764"/>
      <c r="AC107" s="764"/>
      <c r="AD107" s="764"/>
      <c r="AE107" s="764"/>
      <c r="AF107" s="764"/>
      <c r="AG107" s="764"/>
      <c r="AH107" s="764"/>
      <c r="AI107" s="764"/>
      <c r="AJ107" s="764"/>
      <c r="AK107" s="764"/>
      <c r="AL107" s="764"/>
      <c r="AM107" s="764"/>
      <c r="AN107" s="764"/>
      <c r="AO107" s="731"/>
    </row>
    <row r="108" spans="1:41" s="762" customFormat="1" collapsed="1" x14ac:dyDescent="0.25">
      <c r="A108" s="773"/>
      <c r="E108" s="778" t="s">
        <v>552</v>
      </c>
      <c r="F108" s="766">
        <f>SUM(J108:AN108)</f>
        <v>0</v>
      </c>
      <c r="G108" s="762" t="s">
        <v>534</v>
      </c>
      <c r="H108" s="770"/>
      <c r="I108" s="770"/>
      <c r="J108" s="768">
        <f>SUM(J93:J107)*J$9</f>
        <v>0</v>
      </c>
      <c r="K108" s="766">
        <f t="shared" ref="K108:AN108" si="12">SUM(K93:K107)*K$9</f>
        <v>0</v>
      </c>
      <c r="L108" s="766">
        <f t="shared" si="12"/>
        <v>0</v>
      </c>
      <c r="M108" s="766">
        <f t="shared" si="12"/>
        <v>0</v>
      </c>
      <c r="N108" s="766">
        <f t="shared" si="12"/>
        <v>0</v>
      </c>
      <c r="O108" s="766">
        <f t="shared" si="12"/>
        <v>0</v>
      </c>
      <c r="P108" s="766">
        <f t="shared" si="12"/>
        <v>0</v>
      </c>
      <c r="Q108" s="769">
        <f t="shared" si="12"/>
        <v>0</v>
      </c>
      <c r="R108" s="766">
        <f t="shared" si="12"/>
        <v>0</v>
      </c>
      <c r="S108" s="766">
        <f t="shared" si="12"/>
        <v>0</v>
      </c>
      <c r="T108" s="766">
        <f t="shared" si="12"/>
        <v>0</v>
      </c>
      <c r="U108" s="766">
        <f t="shared" si="12"/>
        <v>0</v>
      </c>
      <c r="V108" s="766">
        <f t="shared" si="12"/>
        <v>0</v>
      </c>
      <c r="W108" s="766">
        <f t="shared" si="12"/>
        <v>0</v>
      </c>
      <c r="X108" s="766">
        <f t="shared" si="12"/>
        <v>0</v>
      </c>
      <c r="Y108" s="766">
        <f t="shared" si="12"/>
        <v>0</v>
      </c>
      <c r="Z108" s="766">
        <f t="shared" si="12"/>
        <v>0</v>
      </c>
      <c r="AA108" s="766">
        <f t="shared" si="12"/>
        <v>0</v>
      </c>
      <c r="AB108" s="766">
        <f t="shared" si="12"/>
        <v>0</v>
      </c>
      <c r="AC108" s="766">
        <f t="shared" si="12"/>
        <v>0</v>
      </c>
      <c r="AD108" s="766">
        <f t="shared" si="12"/>
        <v>0</v>
      </c>
      <c r="AE108" s="766">
        <f t="shared" si="12"/>
        <v>0</v>
      </c>
      <c r="AF108" s="766">
        <f t="shared" si="12"/>
        <v>0</v>
      </c>
      <c r="AG108" s="766">
        <f t="shared" si="12"/>
        <v>0</v>
      </c>
      <c r="AH108" s="766">
        <f t="shared" si="12"/>
        <v>0</v>
      </c>
      <c r="AI108" s="766">
        <f t="shared" si="12"/>
        <v>0</v>
      </c>
      <c r="AJ108" s="766">
        <f t="shared" si="12"/>
        <v>0</v>
      </c>
      <c r="AK108" s="766">
        <f t="shared" si="12"/>
        <v>0</v>
      </c>
      <c r="AL108" s="766">
        <f t="shared" si="12"/>
        <v>0</v>
      </c>
      <c r="AM108" s="766">
        <f t="shared" si="12"/>
        <v>0</v>
      </c>
      <c r="AN108" s="766">
        <f t="shared" si="12"/>
        <v>0</v>
      </c>
      <c r="AO108" s="731"/>
    </row>
    <row r="109" spans="1:41" s="762" customFormat="1" x14ac:dyDescent="0.25">
      <c r="A109" s="773"/>
      <c r="E109" s="778"/>
      <c r="F109" s="766"/>
      <c r="H109" s="770"/>
      <c r="I109" s="770"/>
      <c r="J109" s="768"/>
      <c r="K109" s="766"/>
      <c r="L109" s="766"/>
      <c r="M109" s="766"/>
      <c r="N109" s="766"/>
      <c r="O109" s="766"/>
      <c r="P109" s="766"/>
      <c r="Q109" s="769"/>
      <c r="R109" s="766"/>
      <c r="S109" s="766"/>
      <c r="T109" s="766"/>
      <c r="U109" s="766"/>
      <c r="V109" s="766"/>
      <c r="W109" s="766"/>
      <c r="X109" s="766"/>
      <c r="Y109" s="766"/>
      <c r="Z109" s="766"/>
      <c r="AA109" s="766"/>
      <c r="AB109" s="766"/>
      <c r="AC109" s="766"/>
      <c r="AD109" s="766"/>
      <c r="AE109" s="766"/>
      <c r="AF109" s="766"/>
      <c r="AG109" s="766"/>
      <c r="AH109" s="766"/>
      <c r="AI109" s="766"/>
      <c r="AJ109" s="766"/>
      <c r="AK109" s="766"/>
      <c r="AL109" s="766"/>
      <c r="AM109" s="766"/>
      <c r="AN109" s="766"/>
      <c r="AO109" s="731"/>
    </row>
    <row r="110" spans="1:41" s="791" customFormat="1" x14ac:dyDescent="0.25">
      <c r="A110" s="790"/>
      <c r="E110" s="791" t="s">
        <v>553</v>
      </c>
      <c r="F110" s="791">
        <f>SUM(J110:Q110)</f>
        <v>0</v>
      </c>
      <c r="G110" s="763" t="s">
        <v>534</v>
      </c>
      <c r="J110" s="792">
        <f t="shared" ref="J110:AN110" si="13">SUM(J28,J47,J66,J70,J77,J73,J80,J108,J84,J87)</f>
        <v>0</v>
      </c>
      <c r="K110" s="791">
        <f t="shared" si="13"/>
        <v>0</v>
      </c>
      <c r="L110" s="791">
        <f t="shared" si="13"/>
        <v>0</v>
      </c>
      <c r="M110" s="791">
        <f t="shared" si="13"/>
        <v>0</v>
      </c>
      <c r="N110" s="791">
        <f t="shared" si="13"/>
        <v>0</v>
      </c>
      <c r="O110" s="791">
        <f t="shared" si="13"/>
        <v>0</v>
      </c>
      <c r="P110" s="791">
        <f t="shared" si="13"/>
        <v>0</v>
      </c>
      <c r="Q110" s="793">
        <f t="shared" si="13"/>
        <v>0</v>
      </c>
      <c r="R110" s="791">
        <f t="shared" si="13"/>
        <v>0</v>
      </c>
      <c r="S110" s="791">
        <f t="shared" si="13"/>
        <v>0</v>
      </c>
      <c r="T110" s="791">
        <f t="shared" si="13"/>
        <v>0</v>
      </c>
      <c r="U110" s="791">
        <f t="shared" si="13"/>
        <v>0</v>
      </c>
      <c r="V110" s="791">
        <f t="shared" si="13"/>
        <v>0</v>
      </c>
      <c r="W110" s="791">
        <f t="shared" si="13"/>
        <v>0</v>
      </c>
      <c r="X110" s="791">
        <f t="shared" si="13"/>
        <v>0</v>
      </c>
      <c r="Y110" s="791">
        <f t="shared" si="13"/>
        <v>0</v>
      </c>
      <c r="Z110" s="791">
        <f t="shared" si="13"/>
        <v>0</v>
      </c>
      <c r="AA110" s="791">
        <f t="shared" si="13"/>
        <v>0</v>
      </c>
      <c r="AB110" s="791">
        <f t="shared" si="13"/>
        <v>0</v>
      </c>
      <c r="AC110" s="791">
        <f t="shared" si="13"/>
        <v>0</v>
      </c>
      <c r="AD110" s="791">
        <f t="shared" si="13"/>
        <v>0</v>
      </c>
      <c r="AE110" s="791">
        <f t="shared" si="13"/>
        <v>0</v>
      </c>
      <c r="AF110" s="791">
        <f t="shared" si="13"/>
        <v>0</v>
      </c>
      <c r="AG110" s="791">
        <f t="shared" si="13"/>
        <v>0</v>
      </c>
      <c r="AH110" s="791">
        <f t="shared" si="13"/>
        <v>0</v>
      </c>
      <c r="AI110" s="791">
        <f t="shared" si="13"/>
        <v>0</v>
      </c>
      <c r="AJ110" s="791">
        <f t="shared" si="13"/>
        <v>0</v>
      </c>
      <c r="AK110" s="791">
        <f t="shared" si="13"/>
        <v>0</v>
      </c>
      <c r="AL110" s="791">
        <f t="shared" si="13"/>
        <v>0</v>
      </c>
      <c r="AM110" s="791">
        <f t="shared" si="13"/>
        <v>0</v>
      </c>
      <c r="AN110" s="791">
        <f t="shared" si="13"/>
        <v>0</v>
      </c>
    </row>
    <row r="111" spans="1:41" s="791" customFormat="1" x14ac:dyDescent="0.25">
      <c r="A111" s="790"/>
      <c r="G111" s="763"/>
      <c r="J111" s="792"/>
      <c r="Q111" s="793"/>
    </row>
    <row r="112" spans="1:41" s="762" customFormat="1" x14ac:dyDescent="0.25">
      <c r="A112" s="773"/>
      <c r="E112" s="731" t="s">
        <v>554</v>
      </c>
      <c r="F112" s="794">
        <f>Kpiek_inv</f>
        <v>100</v>
      </c>
      <c r="G112" s="731" t="s">
        <v>437</v>
      </c>
      <c r="H112" s="770"/>
      <c r="I112" s="770"/>
      <c r="J112" s="783">
        <f t="shared" ref="J112:AN112" si="14">(J68+J75) * $F$112 * Verm_KV * J8</f>
        <v>0</v>
      </c>
      <c r="K112" s="782">
        <f t="shared" si="14"/>
        <v>0</v>
      </c>
      <c r="L112" s="782">
        <f t="shared" si="14"/>
        <v>0</v>
      </c>
      <c r="M112" s="782">
        <f t="shared" si="14"/>
        <v>0</v>
      </c>
      <c r="N112" s="782">
        <f t="shared" si="14"/>
        <v>0</v>
      </c>
      <c r="O112" s="782">
        <f t="shared" si="14"/>
        <v>0</v>
      </c>
      <c r="P112" s="782">
        <f t="shared" si="14"/>
        <v>0</v>
      </c>
      <c r="Q112" s="784">
        <f t="shared" si="14"/>
        <v>0</v>
      </c>
      <c r="R112" s="782">
        <f t="shared" si="14"/>
        <v>0</v>
      </c>
      <c r="S112" s="782">
        <f t="shared" si="14"/>
        <v>0</v>
      </c>
      <c r="T112" s="782">
        <f t="shared" si="14"/>
        <v>0</v>
      </c>
      <c r="U112" s="782">
        <f t="shared" si="14"/>
        <v>0</v>
      </c>
      <c r="V112" s="782">
        <f t="shared" si="14"/>
        <v>0</v>
      </c>
      <c r="W112" s="782">
        <f t="shared" si="14"/>
        <v>0</v>
      </c>
      <c r="X112" s="782">
        <f t="shared" si="14"/>
        <v>0</v>
      </c>
      <c r="Y112" s="782">
        <f t="shared" si="14"/>
        <v>0</v>
      </c>
      <c r="Z112" s="782">
        <f t="shared" si="14"/>
        <v>0</v>
      </c>
      <c r="AA112" s="782">
        <f t="shared" si="14"/>
        <v>0</v>
      </c>
      <c r="AB112" s="782">
        <f t="shared" si="14"/>
        <v>0</v>
      </c>
      <c r="AC112" s="782">
        <f t="shared" si="14"/>
        <v>0</v>
      </c>
      <c r="AD112" s="782">
        <f t="shared" si="14"/>
        <v>0</v>
      </c>
      <c r="AE112" s="782">
        <f t="shared" si="14"/>
        <v>0</v>
      </c>
      <c r="AF112" s="782">
        <f t="shared" si="14"/>
        <v>0</v>
      </c>
      <c r="AG112" s="782">
        <f t="shared" si="14"/>
        <v>0</v>
      </c>
      <c r="AH112" s="782">
        <f t="shared" si="14"/>
        <v>0</v>
      </c>
      <c r="AI112" s="782">
        <f t="shared" si="14"/>
        <v>0</v>
      </c>
      <c r="AJ112" s="782">
        <f t="shared" si="14"/>
        <v>0</v>
      </c>
      <c r="AK112" s="782">
        <f t="shared" si="14"/>
        <v>0</v>
      </c>
      <c r="AL112" s="782">
        <f t="shared" si="14"/>
        <v>0</v>
      </c>
      <c r="AM112" s="782">
        <f t="shared" si="14"/>
        <v>0</v>
      </c>
      <c r="AN112" s="782">
        <f t="shared" si="14"/>
        <v>0</v>
      </c>
      <c r="AO112" s="731"/>
    </row>
    <row r="113" spans="1:41" s="762" customFormat="1" x14ac:dyDescent="0.25">
      <c r="A113" s="773"/>
      <c r="E113" s="763" t="s">
        <v>535</v>
      </c>
      <c r="F113" s="780">
        <v>30</v>
      </c>
      <c r="G113" s="757" t="s">
        <v>503</v>
      </c>
      <c r="H113" s="770"/>
      <c r="I113" s="770"/>
      <c r="J113" s="776"/>
      <c r="K113" s="764"/>
      <c r="L113" s="764"/>
      <c r="M113" s="764"/>
      <c r="N113" s="764"/>
      <c r="O113" s="764"/>
      <c r="P113" s="764"/>
      <c r="Q113" s="777"/>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31"/>
    </row>
    <row r="114" spans="1:41" s="762" customFormat="1" x14ac:dyDescent="0.25">
      <c r="A114" s="773"/>
      <c r="E114" s="763"/>
      <c r="F114" s="780"/>
      <c r="G114" s="757"/>
      <c r="H114" s="770"/>
      <c r="I114" s="770"/>
      <c r="J114" s="776"/>
      <c r="K114" s="764"/>
      <c r="L114" s="764"/>
      <c r="M114" s="764"/>
      <c r="N114" s="764"/>
      <c r="O114" s="764"/>
      <c r="P114" s="764"/>
      <c r="Q114" s="777"/>
      <c r="R114" s="764"/>
      <c r="S114" s="764"/>
      <c r="T114" s="764"/>
      <c r="U114" s="764"/>
      <c r="V114" s="764"/>
      <c r="W114" s="764"/>
      <c r="X114" s="764"/>
      <c r="Y114" s="764"/>
      <c r="Z114" s="764"/>
      <c r="AA114" s="764"/>
      <c r="AB114" s="764"/>
      <c r="AC114" s="764"/>
      <c r="AD114" s="764"/>
      <c r="AE114" s="764"/>
      <c r="AF114" s="764"/>
      <c r="AG114" s="764"/>
      <c r="AH114" s="764"/>
      <c r="AI114" s="764"/>
      <c r="AJ114" s="764"/>
      <c r="AK114" s="764"/>
      <c r="AL114" s="764"/>
      <c r="AM114" s="764"/>
      <c r="AN114" s="764"/>
      <c r="AO114" s="731"/>
    </row>
    <row r="115" spans="1:41" s="1037" customFormat="1" hidden="1" outlineLevel="1" x14ac:dyDescent="0.25">
      <c r="A115" s="1036"/>
      <c r="E115" s="1037" t="s">
        <v>555</v>
      </c>
      <c r="F115" s="1038">
        <f t="shared" ref="F115:F116" si="15">SUM(J115:AN115)</f>
        <v>0</v>
      </c>
      <c r="G115" s="1037" t="s">
        <v>534</v>
      </c>
      <c r="H115" s="1039"/>
      <c r="I115" s="1039"/>
      <c r="J115" s="1040" cm="1">
        <f t="array" ref="J115">SUMPRODUCT( ('Aansluitingen na looptijd'!$E$10:$I$10=J$5) * ('Aansluitingen na looptijd'!$E14:$I14) )*J89</f>
        <v>0</v>
      </c>
      <c r="K115" s="1038" cm="1">
        <f t="array" ref="K115">SUMPRODUCT( ('Aansluitingen na looptijd'!$E$10:$I$10=K$5) * ('Aansluitingen na looptijd'!$E14:$I14) )*K89</f>
        <v>0</v>
      </c>
      <c r="L115" s="1038" cm="1">
        <f t="array" ref="L115">SUMPRODUCT( ('Aansluitingen na looptijd'!$E$10:$I$10=L$5) * ('Aansluitingen na looptijd'!$E14:$I14) )*L89</f>
        <v>0</v>
      </c>
      <c r="M115" s="1038" cm="1">
        <f t="array" ref="M115">SUMPRODUCT( ('Aansluitingen na looptijd'!$E$10:$I$10=M$5) * ('Aansluitingen na looptijd'!$E14:$I14) )*M89</f>
        <v>0</v>
      </c>
      <c r="N115" s="1038" cm="1">
        <f t="array" ref="N115">SUMPRODUCT( ('Aansluitingen na looptijd'!$E$10:$I$10=N$5) * ('Aansluitingen na looptijd'!$E14:$I14) )*N89</f>
        <v>0</v>
      </c>
      <c r="O115" s="1038" cm="1">
        <f t="array" ref="O115">SUMPRODUCT( ('Aansluitingen na looptijd'!$E$10:$I$10=O$5) * ('Aansluitingen na looptijd'!$E14:$I14) )*O89</f>
        <v>0</v>
      </c>
      <c r="P115" s="1038" cm="1">
        <f t="array" ref="P115">SUMPRODUCT( ('Aansluitingen na looptijd'!$E$10:$I$10=P$5) * ('Aansluitingen na looptijd'!$E14:$I14) )*P89</f>
        <v>0</v>
      </c>
      <c r="Q115" s="1041" cm="1">
        <f t="array" ref="Q115">SUMPRODUCT( ('Aansluitingen na looptijd'!$E$10:$I$10=Q$5) * ('Aansluitingen na looptijd'!$E14:$I14) )*Q89</f>
        <v>0</v>
      </c>
      <c r="R115" s="1038" cm="1">
        <f t="array" ref="R115">SUMPRODUCT( ('Aansluitingen na looptijd'!$E$10:$I$10=R$5) * ('Aansluitingen na looptijd'!$E14:$I14) )*R89</f>
        <v>0</v>
      </c>
      <c r="S115" s="1038" cm="1">
        <f t="array" ref="S115">SUMPRODUCT( ('Aansluitingen na looptijd'!$E$10:$I$10=S$5) * ('Aansluitingen na looptijd'!$E14:$I14) )*S89</f>
        <v>0</v>
      </c>
      <c r="T115" s="1038" cm="1">
        <f t="array" ref="T115">SUMPRODUCT( ('Aansluitingen na looptijd'!$E$10:$I$10=T$5) * ('Aansluitingen na looptijd'!$E14:$I14) )*T89</f>
        <v>0</v>
      </c>
      <c r="U115" s="1038" cm="1">
        <f t="array" ref="U115">SUMPRODUCT( ('Aansluitingen na looptijd'!$E$10:$I$10=U$5) * ('Aansluitingen na looptijd'!$E14:$I14) )*U89</f>
        <v>0</v>
      </c>
      <c r="V115" s="1038" cm="1">
        <f t="array" ref="V115">SUMPRODUCT( ('Aansluitingen na looptijd'!$E$10:$I$10=V$5) * ('Aansluitingen na looptijd'!$E14:$I14) )*V89</f>
        <v>0</v>
      </c>
      <c r="W115" s="1038" cm="1">
        <f t="array" ref="W115">SUMPRODUCT( ('Aansluitingen na looptijd'!$E$10:$I$10=W$5) * ('Aansluitingen na looptijd'!$E14:$I14) )*W89</f>
        <v>0</v>
      </c>
      <c r="X115" s="1038" cm="1">
        <f t="array" ref="X115">SUMPRODUCT( ('Aansluitingen na looptijd'!$E$10:$I$10=X$5) * ('Aansluitingen na looptijd'!$E14:$I14) )*X89</f>
        <v>0</v>
      </c>
      <c r="Y115" s="1038" cm="1">
        <f t="array" ref="Y115">SUMPRODUCT( ('Aansluitingen na looptijd'!$E$10:$I$10=Y$5) * ('Aansluitingen na looptijd'!$E14:$I14) )*Y89</f>
        <v>0</v>
      </c>
      <c r="Z115" s="1038" cm="1">
        <f t="array" ref="Z115">SUMPRODUCT( ('Aansluitingen na looptijd'!$E$10:$I$10=Z$5) * ('Aansluitingen na looptijd'!$E14:$I14) )*Z89</f>
        <v>0</v>
      </c>
      <c r="AA115" s="1038" cm="1">
        <f t="array" ref="AA115">SUMPRODUCT( ('Aansluitingen na looptijd'!$E$10:$I$10=AA$5) * ('Aansluitingen na looptijd'!$E14:$I14) )*AA89</f>
        <v>0</v>
      </c>
      <c r="AB115" s="1038" cm="1">
        <f t="array" ref="AB115">SUMPRODUCT( ('Aansluitingen na looptijd'!$E$10:$I$10=AB$5) * ('Aansluitingen na looptijd'!$E14:$I14) )*AB89</f>
        <v>0</v>
      </c>
      <c r="AC115" s="1038" cm="1">
        <f t="array" ref="AC115">SUMPRODUCT( ('Aansluitingen na looptijd'!$E$10:$I$10=AC$5) * ('Aansluitingen na looptijd'!$E14:$I14) )*AC89</f>
        <v>0</v>
      </c>
      <c r="AD115" s="1038" cm="1">
        <f t="array" ref="AD115">SUMPRODUCT( ('Aansluitingen na looptijd'!$E$10:$I$10=AD$5) * ('Aansluitingen na looptijd'!$E14:$I14) )*AD89</f>
        <v>0</v>
      </c>
      <c r="AE115" s="1038" cm="1">
        <f t="array" ref="AE115">SUMPRODUCT( ('Aansluitingen na looptijd'!$E$10:$I$10=AE$5) * ('Aansluitingen na looptijd'!$E14:$I14) )*AE89</f>
        <v>0</v>
      </c>
      <c r="AF115" s="1038" cm="1">
        <f t="array" ref="AF115">SUMPRODUCT( ('Aansluitingen na looptijd'!$E$10:$I$10=AF$5) * ('Aansluitingen na looptijd'!$E14:$I14) )*AF89</f>
        <v>0</v>
      </c>
      <c r="AG115" s="1038" cm="1">
        <f t="array" ref="AG115">SUMPRODUCT( ('Aansluitingen na looptijd'!$E$10:$I$10=AG$5) * ('Aansluitingen na looptijd'!$E14:$I14) )*AG89</f>
        <v>0</v>
      </c>
      <c r="AH115" s="1038" cm="1">
        <f t="array" ref="AH115">SUMPRODUCT( ('Aansluitingen na looptijd'!$E$10:$I$10=AH$5) * ('Aansluitingen na looptijd'!$E14:$I14) )*AH89</f>
        <v>0</v>
      </c>
      <c r="AI115" s="1038" cm="1">
        <f t="array" ref="AI115">SUMPRODUCT( ('Aansluitingen na looptijd'!$E$10:$I$10=AI$5) * ('Aansluitingen na looptijd'!$E14:$I14) )*AI89</f>
        <v>0</v>
      </c>
      <c r="AJ115" s="1038" cm="1">
        <f t="array" ref="AJ115">SUMPRODUCT( ('Aansluitingen na looptijd'!$E$10:$I$10=AJ$5) * ('Aansluitingen na looptijd'!$E14:$I14) )*AJ89</f>
        <v>0</v>
      </c>
      <c r="AK115" s="1038" cm="1">
        <f t="array" ref="AK115">SUMPRODUCT( ('Aansluitingen na looptijd'!$E$10:$I$10=AK$5) * ('Aansluitingen na looptijd'!$E14:$I14) )*AK89</f>
        <v>0</v>
      </c>
      <c r="AL115" s="1038" cm="1">
        <f t="array" ref="AL115">SUMPRODUCT( ('Aansluitingen na looptijd'!$E$10:$I$10=AL$5) * ('Aansluitingen na looptijd'!$E14:$I14) )*AL89</f>
        <v>0</v>
      </c>
      <c r="AM115" s="1038" cm="1">
        <f t="array" ref="AM115">SUMPRODUCT( ('Aansluitingen na looptijd'!$E$10:$I$10=AM$5) * ('Aansluitingen na looptijd'!$E14:$I14) )*AM89</f>
        <v>0</v>
      </c>
      <c r="AN115" s="1038" cm="1">
        <f t="array" ref="AN115">SUMPRODUCT( ('Aansluitingen na looptijd'!$E$10:$I$10=AN$5) * ('Aansluitingen na looptijd'!$E14:$I14) )*AN89</f>
        <v>0</v>
      </c>
      <c r="AO115" s="1039"/>
    </row>
    <row r="116" spans="1:41" s="1037" customFormat="1" hidden="1" outlineLevel="1" x14ac:dyDescent="0.25">
      <c r="A116" s="1036"/>
      <c r="E116" s="1037" t="s">
        <v>556</v>
      </c>
      <c r="F116" s="1038">
        <f t="shared" si="15"/>
        <v>0</v>
      </c>
      <c r="G116" s="1037" t="s">
        <v>534</v>
      </c>
      <c r="H116" s="1039"/>
      <c r="I116" s="1039"/>
      <c r="J116" s="1040" cm="1">
        <f t="array" ref="J116">SUMPRODUCT( ('Aansluitingen na looptijd'!$E$10:$I$10=J$5) * ('Aansluitingen na looptijd'!$E15:$I15) ) *J89</f>
        <v>0</v>
      </c>
      <c r="K116" s="1038" cm="1">
        <f t="array" ref="K116">SUMPRODUCT( ('Aansluitingen na looptijd'!$E$10:$I$10=K$5) * ('Aansluitingen na looptijd'!$E15:$I15) ) *K89</f>
        <v>0</v>
      </c>
      <c r="L116" s="1038" cm="1">
        <f t="array" ref="L116">SUMPRODUCT( ('Aansluitingen na looptijd'!$E$10:$I$10=L$5) * ('Aansluitingen na looptijd'!$E15:$I15) ) *L89</f>
        <v>0</v>
      </c>
      <c r="M116" s="1038" cm="1">
        <f t="array" ref="M116">SUMPRODUCT( ('Aansluitingen na looptijd'!$E$10:$I$10=M$5) * ('Aansluitingen na looptijd'!$E15:$I15) ) *M89</f>
        <v>0</v>
      </c>
      <c r="N116" s="1038" cm="1">
        <f t="array" ref="N116">SUMPRODUCT( ('Aansluitingen na looptijd'!$E$10:$I$10=N$5) * ('Aansluitingen na looptijd'!$E15:$I15) ) *N89</f>
        <v>0</v>
      </c>
      <c r="O116" s="1038" cm="1">
        <f t="array" ref="O116">SUMPRODUCT( ('Aansluitingen na looptijd'!$E$10:$I$10=O$5) * ('Aansluitingen na looptijd'!$E15:$I15) ) *O89</f>
        <v>0</v>
      </c>
      <c r="P116" s="1038" cm="1">
        <f t="array" ref="P116">SUMPRODUCT( ('Aansluitingen na looptijd'!$E$10:$I$10=P$5) * ('Aansluitingen na looptijd'!$E15:$I15) ) *P89</f>
        <v>0</v>
      </c>
      <c r="Q116" s="1041" cm="1">
        <f t="array" ref="Q116">SUMPRODUCT( ('Aansluitingen na looptijd'!$E$10:$I$10=Q$5) * ('Aansluitingen na looptijd'!$E15:$I15) ) *Q89</f>
        <v>0</v>
      </c>
      <c r="R116" s="1038" cm="1">
        <f t="array" ref="R116">SUMPRODUCT( ('Aansluitingen na looptijd'!$E$10:$I$10=R$5) * ('Aansluitingen na looptijd'!$E15:$I15) ) *R89</f>
        <v>0</v>
      </c>
      <c r="S116" s="1038" cm="1">
        <f t="array" ref="S116">SUMPRODUCT( ('Aansluitingen na looptijd'!$E$10:$I$10=S$5) * ('Aansluitingen na looptijd'!$E15:$I15) ) *S89</f>
        <v>0</v>
      </c>
      <c r="T116" s="1038" cm="1">
        <f t="array" ref="T116">SUMPRODUCT( ('Aansluitingen na looptijd'!$E$10:$I$10=T$5) * ('Aansluitingen na looptijd'!$E15:$I15) ) *T89</f>
        <v>0</v>
      </c>
      <c r="U116" s="1038" cm="1">
        <f t="array" ref="U116">SUMPRODUCT( ('Aansluitingen na looptijd'!$E$10:$I$10=U$5) * ('Aansluitingen na looptijd'!$E15:$I15) ) *U89</f>
        <v>0</v>
      </c>
      <c r="V116" s="1038" cm="1">
        <f t="array" ref="V116">SUMPRODUCT( ('Aansluitingen na looptijd'!$E$10:$I$10=V$5) * ('Aansluitingen na looptijd'!$E15:$I15) ) *V89</f>
        <v>0</v>
      </c>
      <c r="W116" s="1038" cm="1">
        <f t="array" ref="W116">SUMPRODUCT( ('Aansluitingen na looptijd'!$E$10:$I$10=W$5) * ('Aansluitingen na looptijd'!$E15:$I15) ) *W89</f>
        <v>0</v>
      </c>
      <c r="X116" s="1038" cm="1">
        <f t="array" ref="X116">SUMPRODUCT( ('Aansluitingen na looptijd'!$E$10:$I$10=X$5) * ('Aansluitingen na looptijd'!$E15:$I15) ) *X89</f>
        <v>0</v>
      </c>
      <c r="Y116" s="1038" cm="1">
        <f t="array" ref="Y116">SUMPRODUCT( ('Aansluitingen na looptijd'!$E$10:$I$10=Y$5) * ('Aansluitingen na looptijd'!$E15:$I15) ) *Y89 +J116</f>
        <v>0</v>
      </c>
      <c r="Z116" s="1038" cm="1">
        <f t="array" ref="Z116">SUMPRODUCT( ('Aansluitingen na looptijd'!$E$10:$I$10=Z$5) * ('Aansluitingen na looptijd'!$E15:$I15) ) *Z89 +K116</f>
        <v>0</v>
      </c>
      <c r="AA116" s="1038" cm="1">
        <f t="array" ref="AA116">SUMPRODUCT( ('Aansluitingen na looptijd'!$E$10:$I$10=AA$5) * ('Aansluitingen na looptijd'!$E15:$I15) ) *AA89 +L116</f>
        <v>0</v>
      </c>
      <c r="AB116" s="1038" cm="1">
        <f t="array" ref="AB116">SUMPRODUCT( ('Aansluitingen na looptijd'!$E$10:$I$10=AB$5) * ('Aansluitingen na looptijd'!$E15:$I15) ) *AB89 +M116</f>
        <v>0</v>
      </c>
      <c r="AC116" s="1038" cm="1">
        <f t="array" ref="AC116">SUMPRODUCT( ('Aansluitingen na looptijd'!$E$10:$I$10=AC$5) * ('Aansluitingen na looptijd'!$E15:$I15) ) *AC89 +N116</f>
        <v>0</v>
      </c>
      <c r="AD116" s="1038" cm="1">
        <f t="array" ref="AD116">SUMPRODUCT( ('Aansluitingen na looptijd'!$E$10:$I$10=AD$5) * ('Aansluitingen na looptijd'!$E15:$I15) ) *AD89 +O116</f>
        <v>0</v>
      </c>
      <c r="AE116" s="1038" cm="1">
        <f t="array" ref="AE116">SUMPRODUCT( ('Aansluitingen na looptijd'!$E$10:$I$10=AE$5) * ('Aansluitingen na looptijd'!$E15:$I15) ) *AE89 +P116</f>
        <v>0</v>
      </c>
      <c r="AF116" s="1038" cm="1">
        <f t="array" ref="AF116">SUMPRODUCT( ('Aansluitingen na looptijd'!$E$10:$I$10=AF$5) * ('Aansluitingen na looptijd'!$E15:$I15) ) *AF89 +Q116</f>
        <v>0</v>
      </c>
      <c r="AG116" s="1038" cm="1">
        <f t="array" ref="AG116">SUMPRODUCT( ('Aansluitingen na looptijd'!$E$10:$I$10=AG$5) * ('Aansluitingen na looptijd'!$E15:$I15) ) *AG89 +R116</f>
        <v>0</v>
      </c>
      <c r="AH116" s="1038" cm="1">
        <f t="array" ref="AH116">SUMPRODUCT( ('Aansluitingen na looptijd'!$E$10:$I$10=AH$5) * ('Aansluitingen na looptijd'!$E15:$I15) ) *AH89 +S116</f>
        <v>0</v>
      </c>
      <c r="AI116" s="1038" cm="1">
        <f t="array" ref="AI116">SUMPRODUCT( ('Aansluitingen na looptijd'!$E$10:$I$10=AI$5) * ('Aansluitingen na looptijd'!$E15:$I15) ) *AI89 +T116</f>
        <v>0</v>
      </c>
      <c r="AJ116" s="1038" cm="1">
        <f t="array" ref="AJ116">SUMPRODUCT( ('Aansluitingen na looptijd'!$E$10:$I$10=AJ$5) * ('Aansluitingen na looptijd'!$E15:$I15) ) *AJ89 +U116</f>
        <v>0</v>
      </c>
      <c r="AK116" s="1038" cm="1">
        <f t="array" ref="AK116">SUMPRODUCT( ('Aansluitingen na looptijd'!$E$10:$I$10=AK$5) * ('Aansluitingen na looptijd'!$E15:$I15) ) *AK89 +V116</f>
        <v>0</v>
      </c>
      <c r="AL116" s="1038" cm="1">
        <f t="array" ref="AL116">SUMPRODUCT( ('Aansluitingen na looptijd'!$E$10:$I$10=AL$5) * ('Aansluitingen na looptijd'!$E15:$I15) ) *AL89 +W116</f>
        <v>0</v>
      </c>
      <c r="AM116" s="1038" cm="1">
        <f t="array" ref="AM116">SUMPRODUCT( ('Aansluitingen na looptijd'!$E$10:$I$10=AM$5) * ('Aansluitingen na looptijd'!$E15:$I15) ) *AM89 +X116</f>
        <v>0</v>
      </c>
      <c r="AN116" s="1038" cm="1">
        <f t="array" ref="AN116">SUMPRODUCT( ('Aansluitingen na looptijd'!$E$10:$I$10=AN$5) * ('Aansluitingen na looptijd'!$E15:$I15) ) *AN89 +Y116</f>
        <v>0</v>
      </c>
      <c r="AO116" s="1039"/>
    </row>
    <row r="117" spans="1:41" s="1043" customFormat="1" collapsed="1" x14ac:dyDescent="0.25">
      <c r="A117" s="1042"/>
      <c r="E117" s="1043" t="s">
        <v>557</v>
      </c>
      <c r="F117" s="1044">
        <f t="shared" ref="F117" si="16">SUM(J117:AN117)</f>
        <v>0</v>
      </c>
      <c r="G117" s="1043" t="s">
        <v>534</v>
      </c>
      <c r="H117" s="1045"/>
      <c r="I117" s="1045"/>
      <c r="J117" s="1046">
        <f t="shared" ref="J117:AN117" si="17">SUM(J115:J116)</f>
        <v>0</v>
      </c>
      <c r="K117" s="1044">
        <f t="shared" si="17"/>
        <v>0</v>
      </c>
      <c r="L117" s="1044">
        <f t="shared" si="17"/>
        <v>0</v>
      </c>
      <c r="M117" s="1044">
        <f t="shared" si="17"/>
        <v>0</v>
      </c>
      <c r="N117" s="1044">
        <f t="shared" si="17"/>
        <v>0</v>
      </c>
      <c r="O117" s="1044">
        <f t="shared" si="17"/>
        <v>0</v>
      </c>
      <c r="P117" s="1044">
        <f t="shared" si="17"/>
        <v>0</v>
      </c>
      <c r="Q117" s="1047">
        <f t="shared" si="17"/>
        <v>0</v>
      </c>
      <c r="R117" s="1044">
        <f t="shared" si="17"/>
        <v>0</v>
      </c>
      <c r="S117" s="1044">
        <f t="shared" si="17"/>
        <v>0</v>
      </c>
      <c r="T117" s="1044">
        <f t="shared" si="17"/>
        <v>0</v>
      </c>
      <c r="U117" s="1044">
        <f t="shared" si="17"/>
        <v>0</v>
      </c>
      <c r="V117" s="1044">
        <f t="shared" si="17"/>
        <v>0</v>
      </c>
      <c r="W117" s="1044">
        <f t="shared" si="17"/>
        <v>0</v>
      </c>
      <c r="X117" s="1044">
        <f t="shared" si="17"/>
        <v>0</v>
      </c>
      <c r="Y117" s="1044">
        <f t="shared" si="17"/>
        <v>0</v>
      </c>
      <c r="Z117" s="1044">
        <f t="shared" si="17"/>
        <v>0</v>
      </c>
      <c r="AA117" s="1044">
        <f t="shared" si="17"/>
        <v>0</v>
      </c>
      <c r="AB117" s="1044">
        <f t="shared" si="17"/>
        <v>0</v>
      </c>
      <c r="AC117" s="1044">
        <f t="shared" si="17"/>
        <v>0</v>
      </c>
      <c r="AD117" s="1044">
        <f t="shared" si="17"/>
        <v>0</v>
      </c>
      <c r="AE117" s="1044">
        <f t="shared" si="17"/>
        <v>0</v>
      </c>
      <c r="AF117" s="1044">
        <f t="shared" si="17"/>
        <v>0</v>
      </c>
      <c r="AG117" s="1044">
        <f t="shared" si="17"/>
        <v>0</v>
      </c>
      <c r="AH117" s="1044">
        <f t="shared" si="17"/>
        <v>0</v>
      </c>
      <c r="AI117" s="1044">
        <f t="shared" si="17"/>
        <v>0</v>
      </c>
      <c r="AJ117" s="1044">
        <f t="shared" si="17"/>
        <v>0</v>
      </c>
      <c r="AK117" s="1044">
        <f t="shared" si="17"/>
        <v>0</v>
      </c>
      <c r="AL117" s="1044">
        <f t="shared" si="17"/>
        <v>0</v>
      </c>
      <c r="AM117" s="1044">
        <f t="shared" si="17"/>
        <v>0</v>
      </c>
      <c r="AN117" s="1044">
        <f t="shared" si="17"/>
        <v>0</v>
      </c>
      <c r="AO117" s="1045"/>
    </row>
    <row r="118" spans="1:41" s="762" customFormat="1" x14ac:dyDescent="0.25">
      <c r="A118" s="773"/>
      <c r="E118" s="763"/>
      <c r="F118" s="764"/>
      <c r="G118" s="757"/>
      <c r="H118" s="770"/>
      <c r="I118" s="770"/>
      <c r="J118" s="776"/>
      <c r="K118" s="764"/>
      <c r="L118" s="764"/>
      <c r="M118" s="764"/>
      <c r="N118" s="764"/>
      <c r="O118" s="764"/>
      <c r="P118" s="764"/>
      <c r="Q118" s="777"/>
      <c r="R118" s="764"/>
      <c r="S118" s="764"/>
      <c r="T118" s="764"/>
      <c r="U118" s="764"/>
      <c r="V118" s="764"/>
      <c r="W118" s="764"/>
      <c r="X118" s="764"/>
      <c r="Y118" s="764"/>
      <c r="Z118" s="764"/>
      <c r="AA118" s="764"/>
      <c r="AB118" s="764"/>
      <c r="AC118" s="764"/>
      <c r="AD118" s="764"/>
      <c r="AE118" s="764"/>
      <c r="AF118" s="764"/>
      <c r="AG118" s="764"/>
      <c r="AH118" s="764"/>
      <c r="AI118" s="764"/>
      <c r="AJ118" s="764"/>
      <c r="AK118" s="764"/>
      <c r="AL118" s="764"/>
      <c r="AM118" s="764"/>
      <c r="AN118" s="764"/>
      <c r="AO118" s="731"/>
    </row>
    <row r="119" spans="1:41" s="762" customFormat="1" x14ac:dyDescent="0.25">
      <c r="A119" s="773"/>
      <c r="E119" s="795" t="s">
        <v>558</v>
      </c>
      <c r="F119" s="791">
        <f>SUM(J119:Q119)</f>
        <v>0</v>
      </c>
      <c r="G119" s="762" t="s">
        <v>534</v>
      </c>
      <c r="H119" s="770"/>
      <c r="I119" s="770"/>
      <c r="J119" s="792">
        <f t="shared" ref="J119:AN119" si="18">J110+J112+J117</f>
        <v>0</v>
      </c>
      <c r="K119" s="791">
        <f t="shared" si="18"/>
        <v>0</v>
      </c>
      <c r="L119" s="791">
        <f t="shared" si="18"/>
        <v>0</v>
      </c>
      <c r="M119" s="791">
        <f t="shared" si="18"/>
        <v>0</v>
      </c>
      <c r="N119" s="791">
        <f t="shared" si="18"/>
        <v>0</v>
      </c>
      <c r="O119" s="791">
        <f t="shared" si="18"/>
        <v>0</v>
      </c>
      <c r="P119" s="791">
        <f t="shared" si="18"/>
        <v>0</v>
      </c>
      <c r="Q119" s="793">
        <f t="shared" si="18"/>
        <v>0</v>
      </c>
      <c r="R119" s="791">
        <f t="shared" si="18"/>
        <v>0</v>
      </c>
      <c r="S119" s="791">
        <f t="shared" si="18"/>
        <v>0</v>
      </c>
      <c r="T119" s="791">
        <f t="shared" si="18"/>
        <v>0</v>
      </c>
      <c r="U119" s="791">
        <f t="shared" si="18"/>
        <v>0</v>
      </c>
      <c r="V119" s="791">
        <f t="shared" si="18"/>
        <v>0</v>
      </c>
      <c r="W119" s="791">
        <f t="shared" si="18"/>
        <v>0</v>
      </c>
      <c r="X119" s="791">
        <f t="shared" si="18"/>
        <v>0</v>
      </c>
      <c r="Y119" s="791">
        <f t="shared" si="18"/>
        <v>0</v>
      </c>
      <c r="Z119" s="791">
        <f t="shared" si="18"/>
        <v>0</v>
      </c>
      <c r="AA119" s="791">
        <f t="shared" si="18"/>
        <v>0</v>
      </c>
      <c r="AB119" s="791">
        <f t="shared" si="18"/>
        <v>0</v>
      </c>
      <c r="AC119" s="791">
        <f t="shared" si="18"/>
        <v>0</v>
      </c>
      <c r="AD119" s="791">
        <f t="shared" si="18"/>
        <v>0</v>
      </c>
      <c r="AE119" s="791">
        <f t="shared" si="18"/>
        <v>0</v>
      </c>
      <c r="AF119" s="791">
        <f t="shared" si="18"/>
        <v>0</v>
      </c>
      <c r="AG119" s="791">
        <f t="shared" si="18"/>
        <v>0</v>
      </c>
      <c r="AH119" s="791">
        <f t="shared" si="18"/>
        <v>0</v>
      </c>
      <c r="AI119" s="791">
        <f t="shared" si="18"/>
        <v>0</v>
      </c>
      <c r="AJ119" s="791">
        <f t="shared" si="18"/>
        <v>0</v>
      </c>
      <c r="AK119" s="791">
        <f t="shared" si="18"/>
        <v>0</v>
      </c>
      <c r="AL119" s="791">
        <f t="shared" si="18"/>
        <v>0</v>
      </c>
      <c r="AM119" s="791">
        <f t="shared" si="18"/>
        <v>0</v>
      </c>
      <c r="AN119" s="791">
        <f t="shared" si="18"/>
        <v>0</v>
      </c>
      <c r="AO119" s="731"/>
    </row>
    <row r="120" spans="1:41" x14ac:dyDescent="0.25"/>
    <row r="121" spans="1:41" x14ac:dyDescent="0.25">
      <c r="A121" s="750"/>
      <c r="B121" s="751" t="s">
        <v>559</v>
      </c>
      <c r="C121" s="752"/>
      <c r="D121" s="752"/>
      <c r="E121" s="752"/>
      <c r="F121" s="752"/>
      <c r="G121" s="752"/>
      <c r="H121" s="752"/>
      <c r="I121" s="752"/>
    </row>
    <row r="122" spans="1:41" x14ac:dyDescent="0.25"/>
    <row r="123" spans="1:41" x14ac:dyDescent="0.25">
      <c r="E123" s="731" t="s">
        <v>560</v>
      </c>
      <c r="F123" s="731">
        <f>Afschr_hoog</f>
        <v>30</v>
      </c>
      <c r="G123" s="731" t="s">
        <v>503</v>
      </c>
      <c r="J123" s="734">
        <f t="shared" ref="J123:AN123" si="19">SUM(J28,J47,J66,J70,J77,J108,J112,J84,SUM(J115:J115))</f>
        <v>0</v>
      </c>
      <c r="K123" s="731">
        <f t="shared" si="19"/>
        <v>0</v>
      </c>
      <c r="L123" s="731">
        <f t="shared" si="19"/>
        <v>0</v>
      </c>
      <c r="M123" s="731">
        <f t="shared" si="19"/>
        <v>0</v>
      </c>
      <c r="N123" s="731">
        <f t="shared" si="19"/>
        <v>0</v>
      </c>
      <c r="O123" s="731">
        <f t="shared" si="19"/>
        <v>0</v>
      </c>
      <c r="P123" s="731">
        <f t="shared" si="19"/>
        <v>0</v>
      </c>
      <c r="Q123" s="735">
        <f t="shared" si="19"/>
        <v>0</v>
      </c>
      <c r="R123" s="731">
        <f t="shared" si="19"/>
        <v>0</v>
      </c>
      <c r="S123" s="731">
        <f t="shared" si="19"/>
        <v>0</v>
      </c>
      <c r="T123" s="731">
        <f t="shared" si="19"/>
        <v>0</v>
      </c>
      <c r="U123" s="731">
        <f t="shared" si="19"/>
        <v>0</v>
      </c>
      <c r="V123" s="731">
        <f t="shared" si="19"/>
        <v>0</v>
      </c>
      <c r="W123" s="731">
        <f t="shared" si="19"/>
        <v>0</v>
      </c>
      <c r="X123" s="731">
        <f t="shared" si="19"/>
        <v>0</v>
      </c>
      <c r="Y123" s="731">
        <f t="shared" si="19"/>
        <v>0</v>
      </c>
      <c r="Z123" s="731">
        <f t="shared" si="19"/>
        <v>0</v>
      </c>
      <c r="AA123" s="731">
        <f t="shared" si="19"/>
        <v>0</v>
      </c>
      <c r="AB123" s="731">
        <f t="shared" si="19"/>
        <v>0</v>
      </c>
      <c r="AC123" s="731">
        <f t="shared" si="19"/>
        <v>0</v>
      </c>
      <c r="AD123" s="731">
        <f t="shared" si="19"/>
        <v>0</v>
      </c>
      <c r="AE123" s="731">
        <f t="shared" si="19"/>
        <v>0</v>
      </c>
      <c r="AF123" s="731">
        <f t="shared" si="19"/>
        <v>0</v>
      </c>
      <c r="AG123" s="731">
        <f t="shared" si="19"/>
        <v>0</v>
      </c>
      <c r="AH123" s="731">
        <f t="shared" si="19"/>
        <v>0</v>
      </c>
      <c r="AI123" s="731">
        <f t="shared" si="19"/>
        <v>0</v>
      </c>
      <c r="AJ123" s="731">
        <f t="shared" si="19"/>
        <v>0</v>
      </c>
      <c r="AK123" s="731">
        <f t="shared" si="19"/>
        <v>0</v>
      </c>
      <c r="AL123" s="731">
        <f t="shared" si="19"/>
        <v>0</v>
      </c>
      <c r="AM123" s="731">
        <f t="shared" si="19"/>
        <v>0</v>
      </c>
      <c r="AN123" s="731">
        <f t="shared" si="19"/>
        <v>0</v>
      </c>
    </row>
    <row r="124" spans="1:41" x14ac:dyDescent="0.25">
      <c r="E124" s="731" t="s">
        <v>561</v>
      </c>
      <c r="J124" s="734">
        <f t="shared" ref="J124:AN124" si="20" xml:space="preserve"> IF( J$6 - $F123 &lt;= 0, 0, - INDEX($J123:$AN123, ,J$6 - $F123))</f>
        <v>0</v>
      </c>
      <c r="K124" s="731">
        <f t="shared" si="20"/>
        <v>0</v>
      </c>
      <c r="L124" s="731">
        <f xml:space="preserve"> IF( L$6 - $F123 &lt;= 0, 0, - INDEX($J123:$AN123, ,L$6 - $F123))</f>
        <v>0</v>
      </c>
      <c r="M124" s="731">
        <f t="shared" si="20"/>
        <v>0</v>
      </c>
      <c r="N124" s="731">
        <f t="shared" si="20"/>
        <v>0</v>
      </c>
      <c r="O124" s="731">
        <f t="shared" si="20"/>
        <v>0</v>
      </c>
      <c r="P124" s="731">
        <f t="shared" si="20"/>
        <v>0</v>
      </c>
      <c r="Q124" s="735">
        <f t="shared" si="20"/>
        <v>0</v>
      </c>
      <c r="R124" s="731">
        <f t="shared" si="20"/>
        <v>0</v>
      </c>
      <c r="S124" s="731">
        <f t="shared" si="20"/>
        <v>0</v>
      </c>
      <c r="T124" s="731">
        <f t="shared" si="20"/>
        <v>0</v>
      </c>
      <c r="U124" s="731">
        <f t="shared" si="20"/>
        <v>0</v>
      </c>
      <c r="V124" s="731">
        <f t="shared" si="20"/>
        <v>0</v>
      </c>
      <c r="W124" s="731">
        <f t="shared" si="20"/>
        <v>0</v>
      </c>
      <c r="X124" s="731">
        <f t="shared" si="20"/>
        <v>0</v>
      </c>
      <c r="Y124" s="731">
        <f t="shared" si="20"/>
        <v>0</v>
      </c>
      <c r="Z124" s="731">
        <f t="shared" si="20"/>
        <v>0</v>
      </c>
      <c r="AA124" s="731">
        <f t="shared" si="20"/>
        <v>0</v>
      </c>
      <c r="AB124" s="731">
        <f t="shared" si="20"/>
        <v>0</v>
      </c>
      <c r="AC124" s="731">
        <f t="shared" si="20"/>
        <v>0</v>
      </c>
      <c r="AD124" s="731">
        <f t="shared" si="20"/>
        <v>0</v>
      </c>
      <c r="AE124" s="731">
        <f t="shared" si="20"/>
        <v>0</v>
      </c>
      <c r="AF124" s="731">
        <f t="shared" si="20"/>
        <v>0</v>
      </c>
      <c r="AG124" s="731">
        <f t="shared" si="20"/>
        <v>0</v>
      </c>
      <c r="AH124" s="731">
        <f t="shared" si="20"/>
        <v>0</v>
      </c>
      <c r="AI124" s="731">
        <f t="shared" si="20"/>
        <v>0</v>
      </c>
      <c r="AJ124" s="731">
        <f t="shared" si="20"/>
        <v>0</v>
      </c>
      <c r="AK124" s="731">
        <f t="shared" si="20"/>
        <v>0</v>
      </c>
      <c r="AL124" s="731">
        <f t="shared" si="20"/>
        <v>0</v>
      </c>
      <c r="AM124" s="731">
        <f t="shared" si="20"/>
        <v>0</v>
      </c>
      <c r="AN124" s="731">
        <f t="shared" si="20"/>
        <v>0</v>
      </c>
    </row>
    <row r="125" spans="1:41" s="762" customFormat="1" x14ac:dyDescent="0.25">
      <c r="A125" s="773"/>
      <c r="E125" s="778" t="s">
        <v>562</v>
      </c>
      <c r="F125" s="778"/>
      <c r="G125" s="763" t="s">
        <v>534</v>
      </c>
      <c r="H125" s="770"/>
      <c r="I125" s="770"/>
      <c r="J125" s="771">
        <f>SUM($I123:I124)/$F$123</f>
        <v>0</v>
      </c>
      <c r="K125" s="770">
        <f>SUM($I123:J124)/$F$123</f>
        <v>0</v>
      </c>
      <c r="L125" s="770">
        <f>SUM($I123:K124)/$F$123</f>
        <v>0</v>
      </c>
      <c r="M125" s="770">
        <f>SUM($I123:L124)/$F$123</f>
        <v>0</v>
      </c>
      <c r="N125" s="770">
        <f>SUM($I123:M124)/$F$123</f>
        <v>0</v>
      </c>
      <c r="O125" s="770">
        <f>SUM($I123:N124)/$F$123</f>
        <v>0</v>
      </c>
      <c r="P125" s="770">
        <f>SUM($I123:O124)/$F$123</f>
        <v>0</v>
      </c>
      <c r="Q125" s="772">
        <f>SUM($I123:P124)/$F$123</f>
        <v>0</v>
      </c>
      <c r="R125" s="770">
        <f>SUM($I123:Q124)/$F$123</f>
        <v>0</v>
      </c>
      <c r="S125" s="770">
        <f>SUM($I123:R124)/$F$123</f>
        <v>0</v>
      </c>
      <c r="T125" s="770">
        <f>SUM($I123:S124)/$F$123</f>
        <v>0</v>
      </c>
      <c r="U125" s="770">
        <f>SUM($I123:T124)/$F$123</f>
        <v>0</v>
      </c>
      <c r="V125" s="770">
        <f>SUM($I123:U124)/$F$123</f>
        <v>0</v>
      </c>
      <c r="W125" s="770">
        <f>SUM($I123:V124)/$F$123</f>
        <v>0</v>
      </c>
      <c r="X125" s="770">
        <f>SUM($I123:W124)/$F$123</f>
        <v>0</v>
      </c>
      <c r="Y125" s="770">
        <f>SUM($I123:X124)/$F$123</f>
        <v>0</v>
      </c>
      <c r="Z125" s="770">
        <f>SUM($I123:Y124)/$F$123</f>
        <v>0</v>
      </c>
      <c r="AA125" s="770">
        <f>SUM($I123:Z124)/$F$123</f>
        <v>0</v>
      </c>
      <c r="AB125" s="770">
        <f>SUM($I123:AA124)/$F$123</f>
        <v>0</v>
      </c>
      <c r="AC125" s="770">
        <f>SUM($I123:AB124)/$F$123</f>
        <v>0</v>
      </c>
      <c r="AD125" s="770">
        <f>SUM($I123:AC124)/$F$123</f>
        <v>0</v>
      </c>
      <c r="AE125" s="770">
        <f>SUM($I123:AD124)/$F$123</f>
        <v>0</v>
      </c>
      <c r="AF125" s="770">
        <f>SUM($I123:AE124)/$F$123</f>
        <v>0</v>
      </c>
      <c r="AG125" s="770">
        <f>SUM($I123:AF124)/$F$123</f>
        <v>0</v>
      </c>
      <c r="AH125" s="770">
        <f>SUM($I123:AG124)/$F$123</f>
        <v>0</v>
      </c>
      <c r="AI125" s="770">
        <f>SUM($I123:AH124)/$F$123</f>
        <v>0</v>
      </c>
      <c r="AJ125" s="770">
        <f>SUM($I123:AI124)/$F$123</f>
        <v>0</v>
      </c>
      <c r="AK125" s="770">
        <f>SUM($I123:AJ124)/$F$123</f>
        <v>0</v>
      </c>
      <c r="AL125" s="770">
        <f>SUM($I123:AK124)/$F$123</f>
        <v>0</v>
      </c>
      <c r="AM125" s="770">
        <f>SUM($I123:AL124)/$F$123</f>
        <v>0</v>
      </c>
      <c r="AN125" s="770">
        <f>SUM($I123:AM124)/$F$123</f>
        <v>0</v>
      </c>
      <c r="AO125" s="731"/>
    </row>
    <row r="126" spans="1:41" x14ac:dyDescent="0.25"/>
    <row r="127" spans="1:41" x14ac:dyDescent="0.25">
      <c r="E127" s="731" t="s">
        <v>563</v>
      </c>
      <c r="F127" s="731">
        <f>Afschr_laag</f>
        <v>15</v>
      </c>
      <c r="G127" s="731" t="s">
        <v>503</v>
      </c>
      <c r="J127" s="734">
        <f t="shared" ref="J127:AN127" si="21">J73+J80+J87+J116</f>
        <v>0</v>
      </c>
      <c r="K127" s="731">
        <f t="shared" si="21"/>
        <v>0</v>
      </c>
      <c r="L127" s="731">
        <f t="shared" si="21"/>
        <v>0</v>
      </c>
      <c r="M127" s="731">
        <f t="shared" si="21"/>
        <v>0</v>
      </c>
      <c r="N127" s="731">
        <f t="shared" si="21"/>
        <v>0</v>
      </c>
      <c r="O127" s="731">
        <f t="shared" si="21"/>
        <v>0</v>
      </c>
      <c r="P127" s="731">
        <f t="shared" si="21"/>
        <v>0</v>
      </c>
      <c r="Q127" s="735">
        <f t="shared" si="21"/>
        <v>0</v>
      </c>
      <c r="R127" s="731">
        <f t="shared" si="21"/>
        <v>0</v>
      </c>
      <c r="S127" s="731">
        <f t="shared" si="21"/>
        <v>0</v>
      </c>
      <c r="T127" s="731">
        <f t="shared" si="21"/>
        <v>0</v>
      </c>
      <c r="U127" s="731">
        <f t="shared" si="21"/>
        <v>0</v>
      </c>
      <c r="V127" s="731">
        <f t="shared" si="21"/>
        <v>0</v>
      </c>
      <c r="W127" s="731">
        <f t="shared" si="21"/>
        <v>0</v>
      </c>
      <c r="X127" s="731">
        <f t="shared" si="21"/>
        <v>0</v>
      </c>
      <c r="Y127" s="731">
        <f t="shared" si="21"/>
        <v>0</v>
      </c>
      <c r="Z127" s="731">
        <f t="shared" si="21"/>
        <v>0</v>
      </c>
      <c r="AA127" s="731">
        <f t="shared" si="21"/>
        <v>0</v>
      </c>
      <c r="AB127" s="731">
        <f t="shared" si="21"/>
        <v>0</v>
      </c>
      <c r="AC127" s="731">
        <f t="shared" si="21"/>
        <v>0</v>
      </c>
      <c r="AD127" s="731">
        <f t="shared" si="21"/>
        <v>0</v>
      </c>
      <c r="AE127" s="731">
        <f t="shared" si="21"/>
        <v>0</v>
      </c>
      <c r="AF127" s="731">
        <f t="shared" si="21"/>
        <v>0</v>
      </c>
      <c r="AG127" s="731">
        <f t="shared" si="21"/>
        <v>0</v>
      </c>
      <c r="AH127" s="731">
        <f t="shared" si="21"/>
        <v>0</v>
      </c>
      <c r="AI127" s="731">
        <f t="shared" si="21"/>
        <v>0</v>
      </c>
      <c r="AJ127" s="731">
        <f t="shared" si="21"/>
        <v>0</v>
      </c>
      <c r="AK127" s="731">
        <f t="shared" si="21"/>
        <v>0</v>
      </c>
      <c r="AL127" s="731">
        <f t="shared" si="21"/>
        <v>0</v>
      </c>
      <c r="AM127" s="731">
        <f t="shared" si="21"/>
        <v>0</v>
      </c>
      <c r="AN127" s="731">
        <f t="shared" si="21"/>
        <v>0</v>
      </c>
    </row>
    <row r="128" spans="1:41" x14ac:dyDescent="0.25">
      <c r="E128" s="731" t="s">
        <v>561</v>
      </c>
      <c r="J128" s="734">
        <f t="shared" ref="J128:AN128" si="22" xml:space="preserve"> IF( J$6 - $F127 &lt;= 0, 0, - INDEX($J127:$AN127, ,J$6 - $F127))</f>
        <v>0</v>
      </c>
      <c r="K128" s="731">
        <f t="shared" si="22"/>
        <v>0</v>
      </c>
      <c r="L128" s="731">
        <f t="shared" si="22"/>
        <v>0</v>
      </c>
      <c r="M128" s="731">
        <f t="shared" si="22"/>
        <v>0</v>
      </c>
      <c r="N128" s="731">
        <f t="shared" si="22"/>
        <v>0</v>
      </c>
      <c r="O128" s="731">
        <f t="shared" si="22"/>
        <v>0</v>
      </c>
      <c r="P128" s="731">
        <f t="shared" si="22"/>
        <v>0</v>
      </c>
      <c r="Q128" s="735">
        <f t="shared" si="22"/>
        <v>0</v>
      </c>
      <c r="R128" s="731">
        <f t="shared" si="22"/>
        <v>0</v>
      </c>
      <c r="S128" s="731">
        <f t="shared" si="22"/>
        <v>0</v>
      </c>
      <c r="T128" s="731">
        <f t="shared" si="22"/>
        <v>0</v>
      </c>
      <c r="U128" s="731">
        <f t="shared" si="22"/>
        <v>0</v>
      </c>
      <c r="V128" s="731">
        <f t="shared" si="22"/>
        <v>0</v>
      </c>
      <c r="W128" s="731">
        <f t="shared" si="22"/>
        <v>0</v>
      </c>
      <c r="X128" s="731">
        <f t="shared" si="22"/>
        <v>0</v>
      </c>
      <c r="Y128" s="731">
        <f t="shared" si="22"/>
        <v>0</v>
      </c>
      <c r="Z128" s="731">
        <f t="shared" si="22"/>
        <v>0</v>
      </c>
      <c r="AA128" s="731">
        <f xml:space="preserve"> IF( AA$6 - $F127 &lt;= 0, 0, - INDEX($J127:$AN127, ,AA$6 - $F127))</f>
        <v>0</v>
      </c>
      <c r="AB128" s="731">
        <f t="shared" si="22"/>
        <v>0</v>
      </c>
      <c r="AC128" s="731">
        <f t="shared" si="22"/>
        <v>0</v>
      </c>
      <c r="AD128" s="731">
        <f t="shared" si="22"/>
        <v>0</v>
      </c>
      <c r="AE128" s="731">
        <f t="shared" si="22"/>
        <v>0</v>
      </c>
      <c r="AF128" s="731">
        <f t="shared" si="22"/>
        <v>0</v>
      </c>
      <c r="AG128" s="731">
        <f t="shared" si="22"/>
        <v>0</v>
      </c>
      <c r="AH128" s="731">
        <f t="shared" si="22"/>
        <v>0</v>
      </c>
      <c r="AI128" s="731">
        <f t="shared" si="22"/>
        <v>0</v>
      </c>
      <c r="AJ128" s="731">
        <f t="shared" si="22"/>
        <v>0</v>
      </c>
      <c r="AK128" s="731">
        <f t="shared" si="22"/>
        <v>0</v>
      </c>
      <c r="AL128" s="731">
        <f t="shared" si="22"/>
        <v>0</v>
      </c>
      <c r="AM128" s="731">
        <f t="shared" si="22"/>
        <v>0</v>
      </c>
      <c r="AN128" s="731">
        <f t="shared" si="22"/>
        <v>0</v>
      </c>
    </row>
    <row r="129" spans="1:41" s="762" customFormat="1" x14ac:dyDescent="0.25">
      <c r="A129" s="773"/>
      <c r="E129" s="778" t="s">
        <v>564</v>
      </c>
      <c r="F129" s="778"/>
      <c r="G129" s="763" t="s">
        <v>534</v>
      </c>
      <c r="H129" s="770"/>
      <c r="I129" s="770"/>
      <c r="J129" s="771">
        <f>SUM($I127:I128)/$F$127</f>
        <v>0</v>
      </c>
      <c r="K129" s="770">
        <f>SUM($I127:J128)/$F$127</f>
        <v>0</v>
      </c>
      <c r="L129" s="770">
        <f>SUM($I127:K128)/$F$127</f>
        <v>0</v>
      </c>
      <c r="M129" s="770">
        <f>SUM($I127:L128)/$F$127</f>
        <v>0</v>
      </c>
      <c r="N129" s="770">
        <f>SUM($I127:M128)/$F$127</f>
        <v>0</v>
      </c>
      <c r="O129" s="770">
        <f>SUM($I127:N128)/$F$127</f>
        <v>0</v>
      </c>
      <c r="P129" s="770">
        <f>SUM($I127:O128)/$F$127</f>
        <v>0</v>
      </c>
      <c r="Q129" s="772">
        <f>SUM($I127:P128)/$F$127</f>
        <v>0</v>
      </c>
      <c r="R129" s="770">
        <f>SUM($I127:Q128)/$F$127</f>
        <v>0</v>
      </c>
      <c r="S129" s="770">
        <f>SUM($I127:R128)/$F$127</f>
        <v>0</v>
      </c>
      <c r="T129" s="770">
        <f>SUM($I127:S128)/$F$127</f>
        <v>0</v>
      </c>
      <c r="U129" s="770">
        <f>SUM($I127:T128)/$F$127</f>
        <v>0</v>
      </c>
      <c r="V129" s="770">
        <f>SUM($I127:U128)/$F$127</f>
        <v>0</v>
      </c>
      <c r="W129" s="770">
        <f>SUM($I127:V128)/$F$127</f>
        <v>0</v>
      </c>
      <c r="X129" s="770">
        <f>SUM($I127:W128)/$F$127</f>
        <v>0</v>
      </c>
      <c r="Y129" s="770">
        <f>SUM($I127:X128)/$F$127</f>
        <v>0</v>
      </c>
      <c r="Z129" s="770">
        <f>SUM($I127:Y128)/$F$127</f>
        <v>0</v>
      </c>
      <c r="AA129" s="770">
        <f>SUM($I127:Z128)/$F$127</f>
        <v>0</v>
      </c>
      <c r="AB129" s="770">
        <f>SUM($I127:AA128)/$F$127</f>
        <v>0</v>
      </c>
      <c r="AC129" s="770">
        <f>SUM($I127:AB128)/$F$127</f>
        <v>0</v>
      </c>
      <c r="AD129" s="770">
        <f>SUM($I127:AC128)/$F$127</f>
        <v>0</v>
      </c>
      <c r="AE129" s="770">
        <f>SUM($I127:AD128)/$F$127</f>
        <v>0</v>
      </c>
      <c r="AF129" s="770">
        <f>SUM($I127:AE128)/$F$127</f>
        <v>0</v>
      </c>
      <c r="AG129" s="770">
        <f>SUM($I127:AF128)/$F$127</f>
        <v>0</v>
      </c>
      <c r="AH129" s="770">
        <f>SUM($I127:AG128)/$F$127</f>
        <v>0</v>
      </c>
      <c r="AI129" s="770">
        <f>SUM($I127:AH128)/$F$127</f>
        <v>0</v>
      </c>
      <c r="AJ129" s="770">
        <f>SUM($I127:AI128)/$F$127</f>
        <v>0</v>
      </c>
      <c r="AK129" s="770">
        <f>SUM($I127:AJ128)/$F$127</f>
        <v>0</v>
      </c>
      <c r="AL129" s="770">
        <f>SUM($I127:AK128)/$F$127</f>
        <v>0</v>
      </c>
      <c r="AM129" s="770">
        <f>SUM($I127:AL128)/$F$127</f>
        <v>0</v>
      </c>
      <c r="AN129" s="770">
        <f>SUM($I127:AM128)/$F$127</f>
        <v>0</v>
      </c>
      <c r="AO129" s="731"/>
    </row>
    <row r="130" spans="1:41" x14ac:dyDescent="0.25"/>
    <row r="131" spans="1:41" s="775" customFormat="1" x14ac:dyDescent="0.25">
      <c r="A131" s="750"/>
      <c r="E131" s="775" t="s">
        <v>565</v>
      </c>
      <c r="G131" s="763" t="s">
        <v>534</v>
      </c>
      <c r="J131" s="796">
        <f t="shared" ref="J131:AM131" si="23">J125+J129</f>
        <v>0</v>
      </c>
      <c r="K131" s="775">
        <f>K125+K129</f>
        <v>0</v>
      </c>
      <c r="L131" s="775">
        <f t="shared" si="23"/>
        <v>0</v>
      </c>
      <c r="M131" s="775">
        <f>M125+M129</f>
        <v>0</v>
      </c>
      <c r="N131" s="775">
        <f t="shared" si="23"/>
        <v>0</v>
      </c>
      <c r="O131" s="775">
        <f t="shared" si="23"/>
        <v>0</v>
      </c>
      <c r="P131" s="775">
        <f t="shared" si="23"/>
        <v>0</v>
      </c>
      <c r="Q131" s="797">
        <f t="shared" si="23"/>
        <v>0</v>
      </c>
      <c r="R131" s="775">
        <f t="shared" si="23"/>
        <v>0</v>
      </c>
      <c r="S131" s="775">
        <f t="shared" si="23"/>
        <v>0</v>
      </c>
      <c r="T131" s="775">
        <f t="shared" si="23"/>
        <v>0</v>
      </c>
      <c r="U131" s="775">
        <f t="shared" si="23"/>
        <v>0</v>
      </c>
      <c r="V131" s="775">
        <f t="shared" si="23"/>
        <v>0</v>
      </c>
      <c r="W131" s="775">
        <f t="shared" si="23"/>
        <v>0</v>
      </c>
      <c r="X131" s="775">
        <f t="shared" si="23"/>
        <v>0</v>
      </c>
      <c r="Y131" s="775">
        <f t="shared" si="23"/>
        <v>0</v>
      </c>
      <c r="Z131" s="775">
        <f t="shared" si="23"/>
        <v>0</v>
      </c>
      <c r="AA131" s="775">
        <f t="shared" si="23"/>
        <v>0</v>
      </c>
      <c r="AB131" s="775">
        <f t="shared" si="23"/>
        <v>0</v>
      </c>
      <c r="AC131" s="775">
        <f t="shared" si="23"/>
        <v>0</v>
      </c>
      <c r="AD131" s="775">
        <f t="shared" si="23"/>
        <v>0</v>
      </c>
      <c r="AE131" s="775">
        <f t="shared" si="23"/>
        <v>0</v>
      </c>
      <c r="AF131" s="775">
        <f t="shared" si="23"/>
        <v>0</v>
      </c>
      <c r="AG131" s="775">
        <f t="shared" si="23"/>
        <v>0</v>
      </c>
      <c r="AH131" s="775">
        <f t="shared" si="23"/>
        <v>0</v>
      </c>
      <c r="AI131" s="775">
        <f t="shared" si="23"/>
        <v>0</v>
      </c>
      <c r="AJ131" s="775">
        <f t="shared" si="23"/>
        <v>0</v>
      </c>
      <c r="AK131" s="775">
        <f t="shared" si="23"/>
        <v>0</v>
      </c>
      <c r="AL131" s="775">
        <f t="shared" si="23"/>
        <v>0</v>
      </c>
      <c r="AM131" s="775">
        <f t="shared" si="23"/>
        <v>0</v>
      </c>
      <c r="AN131" s="775">
        <f>AN125+AN129</f>
        <v>0</v>
      </c>
    </row>
    <row r="132" spans="1:41" x14ac:dyDescent="0.25">
      <c r="E132" s="770"/>
      <c r="F132" s="770"/>
      <c r="G132" s="770"/>
      <c r="H132" s="770"/>
      <c r="I132" s="770"/>
      <c r="J132" s="771"/>
      <c r="K132" s="770"/>
      <c r="L132" s="770"/>
      <c r="M132" s="770"/>
      <c r="N132" s="770"/>
      <c r="O132" s="770"/>
      <c r="P132" s="770"/>
      <c r="Q132" s="772"/>
      <c r="R132" s="770"/>
      <c r="S132" s="770"/>
      <c r="T132" s="770"/>
      <c r="U132" s="770"/>
      <c r="V132" s="770"/>
      <c r="W132" s="770"/>
      <c r="X132" s="770"/>
      <c r="Y132" s="770"/>
      <c r="Z132" s="770"/>
      <c r="AA132" s="770"/>
      <c r="AB132" s="770"/>
      <c r="AC132" s="770"/>
      <c r="AD132" s="770"/>
      <c r="AE132" s="770"/>
      <c r="AF132" s="770"/>
      <c r="AG132" s="770"/>
      <c r="AH132" s="770"/>
      <c r="AI132" s="770"/>
      <c r="AJ132" s="770"/>
      <c r="AK132" s="770"/>
      <c r="AL132" s="770"/>
      <c r="AM132" s="770"/>
      <c r="AN132" s="770"/>
    </row>
    <row r="133" spans="1:41" x14ac:dyDescent="0.25">
      <c r="A133" s="750"/>
      <c r="B133" s="751" t="s">
        <v>566</v>
      </c>
      <c r="C133" s="752"/>
      <c r="D133" s="752"/>
      <c r="E133" s="752"/>
      <c r="F133" s="752"/>
      <c r="G133" s="752"/>
      <c r="H133" s="752"/>
      <c r="I133" s="752"/>
    </row>
    <row r="134" spans="1:41" x14ac:dyDescent="0.25"/>
    <row r="135" spans="1:41" s="762" customFormat="1" x14ac:dyDescent="0.25">
      <c r="A135" s="761"/>
      <c r="B135" s="731"/>
      <c r="C135" s="731"/>
      <c r="D135" s="731"/>
      <c r="E135" s="778" t="s">
        <v>440</v>
      </c>
      <c r="F135" s="758">
        <f>'ORT uitgangspunten'!G46</f>
        <v>0.01</v>
      </c>
      <c r="G135" s="731" t="str">
        <f>'ORT uitgangspunten'!H46</f>
        <v>% van capex</v>
      </c>
      <c r="H135" s="766"/>
      <c r="I135" s="766"/>
      <c r="J135" s="734">
        <f>J8 * $F$135 * (SUM($I28:I28) + SUM($I47:I47)  )</f>
        <v>0</v>
      </c>
      <c r="K135" s="731">
        <f>K8 * $F$135 * (SUM($I28:J28) + SUM($I47:J47)  )</f>
        <v>0</v>
      </c>
      <c r="L135" s="731">
        <f>L8 * $F$135 * (SUM($I28:K28) + SUM($I47:K47)  )</f>
        <v>0</v>
      </c>
      <c r="M135" s="731">
        <f>M8 * $F$135 * (SUM($I28:L28) + SUM($I47:L47)  )</f>
        <v>0</v>
      </c>
      <c r="N135" s="731">
        <f>N8 * $F$135 * (SUM($I28:M28) + SUM($I47:M47)  )</f>
        <v>0</v>
      </c>
      <c r="O135" s="731">
        <f>O8 * $F$135 * (SUM($I28:N28) + SUM($I47:N47)  )</f>
        <v>0</v>
      </c>
      <c r="P135" s="731">
        <f>P8 * $F$135 * (SUM($I28:O28) + SUM($I47:O47)  )</f>
        <v>0</v>
      </c>
      <c r="Q135" s="735">
        <f>Q8 * $F$135 * (SUM($I28:P28) + SUM($I47:P47)  )</f>
        <v>0</v>
      </c>
      <c r="R135" s="731">
        <f>R8 * $F$135 * (SUM($I28:Q28) + SUM($I47:Q47)  )</f>
        <v>0</v>
      </c>
      <c r="S135" s="731">
        <f>S8 * $F$135 * (SUM($I28:R28) + SUM($I47:R47)  )</f>
        <v>0</v>
      </c>
      <c r="T135" s="731">
        <f>T8 * $F$135 * (SUM($I28:S28) + SUM($I47:S47)  )</f>
        <v>0</v>
      </c>
      <c r="U135" s="731">
        <f>U8 * $F$135 * (SUM($I28:T28) + SUM($I47:T47)  )</f>
        <v>0</v>
      </c>
      <c r="V135" s="731">
        <f>V8 * $F$135 * (SUM($I28:U28) + SUM($I47:U47)  )</f>
        <v>0</v>
      </c>
      <c r="W135" s="731">
        <f>W8 * $F$135 * (SUM($I28:V28) + SUM($I47:V47)  )</f>
        <v>0</v>
      </c>
      <c r="X135" s="731">
        <f>X8 * $F$135 * (SUM($I28:W28) + SUM($I47:W47)  )</f>
        <v>0</v>
      </c>
      <c r="Y135" s="731">
        <f>Y8 * $F$135 * (SUM($I28:X28) + SUM($I47:X47)  )</f>
        <v>0</v>
      </c>
      <c r="Z135" s="731">
        <f>Z8 * $F$135 * (SUM($I28:Y28) + SUM($I47:Y47)  )</f>
        <v>0</v>
      </c>
      <c r="AA135" s="731">
        <f>AA8 * $F$135 * (SUM($I28:Z28) + SUM($I47:Z47)  )</f>
        <v>0</v>
      </c>
      <c r="AB135" s="731">
        <f>AB8 * $F$135 * (SUM($I28:AA28) + SUM($I47:AA47)  )</f>
        <v>0</v>
      </c>
      <c r="AC135" s="731">
        <f>AC8 * $F$135 * (SUM($I28:AB28) + SUM($I47:AB47)  )</f>
        <v>0</v>
      </c>
      <c r="AD135" s="731">
        <f>AD8 * $F$135 * (SUM($I28:AC28) + SUM($I47:AC47)  )</f>
        <v>0</v>
      </c>
      <c r="AE135" s="731">
        <f>AE8 * $F$135 * (SUM($I28:AD28) + SUM($I47:AD47)  )</f>
        <v>0</v>
      </c>
      <c r="AF135" s="731">
        <f>AF8 * $F$135 * (SUM($I28:AE28) + SUM($I47:AE47)  )</f>
        <v>0</v>
      </c>
      <c r="AG135" s="731">
        <f>AG8 * $F$135 * (SUM($I28:AF28) + SUM($I47:AF47)  )</f>
        <v>0</v>
      </c>
      <c r="AH135" s="731">
        <f>AH8 * $F$135 * (SUM($I28:AG28) + SUM($I47:AG47)  )</f>
        <v>0</v>
      </c>
      <c r="AI135" s="731">
        <f>AI8 * $F$135 * (SUM($I28:AH28) + SUM($I47:AH47)  )</f>
        <v>0</v>
      </c>
      <c r="AJ135" s="731">
        <f>AJ8 * $F$135 * (SUM($I28:AI28) + SUM($I47:AI47)  )</f>
        <v>0</v>
      </c>
      <c r="AK135" s="731">
        <f>AK8 * $F$135 * (SUM($I28:AJ28) + SUM($I47:AJ47)  )</f>
        <v>0</v>
      </c>
      <c r="AL135" s="731">
        <f>AL8 * $F$135 * (SUM($I28:AK28) + SUM($I47:AK47)  )</f>
        <v>0</v>
      </c>
      <c r="AM135" s="731">
        <f>AM8 * $F$135 * (SUM($I28:AL28) + SUM($I47:AL47)  )</f>
        <v>0</v>
      </c>
      <c r="AN135" s="731">
        <f>AN8 * $F$135 * (SUM($I28:AM28) + SUM($I47:AM47)  )</f>
        <v>0</v>
      </c>
      <c r="AO135" s="731"/>
    </row>
    <row r="136" spans="1:41" s="762" customFormat="1" x14ac:dyDescent="0.25">
      <c r="A136" s="761"/>
      <c r="B136" s="731"/>
      <c r="C136" s="731"/>
      <c r="D136" s="731"/>
      <c r="E136" s="778" t="s">
        <v>567</v>
      </c>
      <c r="F136" s="758">
        <f>'ORT uitgangspunten'!G48</f>
        <v>0.03</v>
      </c>
      <c r="G136" s="774" t="str">
        <f>'ORT uitgangspunten'!H48</f>
        <v>% van capex</v>
      </c>
      <c r="H136" s="770"/>
      <c r="I136" s="770"/>
      <c r="J136" s="734">
        <f>J8*$F$136*(SUM($I66:I66))</f>
        <v>0</v>
      </c>
      <c r="K136" s="731">
        <f>K8*$F$136*(SUM($I66:J66))</f>
        <v>0</v>
      </c>
      <c r="L136" s="731">
        <f>L8*$F$136*(SUM($I66:K66))</f>
        <v>0</v>
      </c>
      <c r="M136" s="731">
        <f>M8*$F$136*(SUM($I66:L66))</f>
        <v>0</v>
      </c>
      <c r="N136" s="731">
        <f>N8*$F$136*(SUM($I66:M66))</f>
        <v>0</v>
      </c>
      <c r="O136" s="731">
        <f>O8*$F$136*(SUM($I66:N66))</f>
        <v>0</v>
      </c>
      <c r="P136" s="731">
        <f>P8*$F$136*(SUM($I66:O66))</f>
        <v>0</v>
      </c>
      <c r="Q136" s="735">
        <f>Q8*$F$136*(SUM($I66:P66))</f>
        <v>0</v>
      </c>
      <c r="R136" s="731">
        <f>R8*$F$136*(SUM($I66:Q66))</f>
        <v>0</v>
      </c>
      <c r="S136" s="731">
        <f>S8*$F$136*(SUM($I66:R66))</f>
        <v>0</v>
      </c>
      <c r="T136" s="731">
        <f>T8*$F$136*(SUM($I66:S66))</f>
        <v>0</v>
      </c>
      <c r="U136" s="731">
        <f>U8*$F$136*(SUM($I66:T66))</f>
        <v>0</v>
      </c>
      <c r="V136" s="731">
        <f>V8*$F$136*(SUM($I66:U66))</f>
        <v>0</v>
      </c>
      <c r="W136" s="731">
        <f>W8*$F$136*(SUM($I66:V66))</f>
        <v>0</v>
      </c>
      <c r="X136" s="731">
        <f>X8*$F$136*(SUM($I66:W66))</f>
        <v>0</v>
      </c>
      <c r="Y136" s="731">
        <f>Y8*$F$136*(SUM($I66:X66))</f>
        <v>0</v>
      </c>
      <c r="Z136" s="731">
        <f>Z8*$F$136*(SUM($I66:Y66))</f>
        <v>0</v>
      </c>
      <c r="AA136" s="731">
        <f>AA8*$F$136*(SUM($I66:Z66))</f>
        <v>0</v>
      </c>
      <c r="AB136" s="731">
        <f>AB8*$F$136*(SUM($I66:AA66))</f>
        <v>0</v>
      </c>
      <c r="AC136" s="731">
        <f>AC8*$F$136*(SUM($I66:AB66))</f>
        <v>0</v>
      </c>
      <c r="AD136" s="731">
        <f>AD8*$F$136*(SUM($I66:AC66))</f>
        <v>0</v>
      </c>
      <c r="AE136" s="731">
        <f>AE8*$F$136*(SUM($I66:AD66))</f>
        <v>0</v>
      </c>
      <c r="AF136" s="731">
        <f>AF8*$F$136*(SUM($I66:AE66))</f>
        <v>0</v>
      </c>
      <c r="AG136" s="731">
        <f>AG8*$F$136*(SUM($I66:AF66))</f>
        <v>0</v>
      </c>
      <c r="AH136" s="731">
        <f>AH8*$F$136*(SUM($I66:AG66))</f>
        <v>0</v>
      </c>
      <c r="AI136" s="731">
        <f>AI8*$F$136*(SUM($I66:AH66))</f>
        <v>0</v>
      </c>
      <c r="AJ136" s="731">
        <f>AJ8*$F$136*(SUM($I66:AI66))</f>
        <v>0</v>
      </c>
      <c r="AK136" s="731">
        <f>AK8*$F$136*(SUM($I66:AJ66))</f>
        <v>0</v>
      </c>
      <c r="AL136" s="731">
        <f>AL8*$F$136*(SUM($I66:AK66))</f>
        <v>0</v>
      </c>
      <c r="AM136" s="731">
        <f>AM8*$F$136*(SUM($I66:AL66))</f>
        <v>0</v>
      </c>
      <c r="AN136" s="731">
        <f>AN8*$F$136*(SUM($I66:AM66))</f>
        <v>0</v>
      </c>
      <c r="AO136" s="731"/>
    </row>
    <row r="137" spans="1:41" s="762" customFormat="1" x14ac:dyDescent="0.25">
      <c r="A137" s="761"/>
      <c r="B137" s="731"/>
      <c r="C137" s="731"/>
      <c r="D137" s="731"/>
      <c r="E137" s="778" t="s">
        <v>568</v>
      </c>
      <c r="F137" s="758">
        <f>'ORT uitgangspunten'!G50</f>
        <v>2.5000000000000001E-2</v>
      </c>
      <c r="G137" s="774" t="str">
        <f>'ORT uitgangspunten'!H50</f>
        <v>% van capex</v>
      </c>
      <c r="H137" s="770"/>
      <c r="I137" s="770"/>
      <c r="J137" s="734">
        <f>J8*$F$137*(SUM($I70:I70)+SUM($I77:I77)+SUM($I84:I84)+SUM($I115:I115))</f>
        <v>0</v>
      </c>
      <c r="K137" s="731">
        <f>K8*$F$137*(SUM($I70:J70)+SUM($I77:J77)+SUM($I84:J84)+SUM($I115:J115))</f>
        <v>0</v>
      </c>
      <c r="L137" s="731">
        <f>L8*$F$137*(SUM($I70:K70)+SUM($I77:K77)+SUM($I84:K84)+SUM($I115:K115))</f>
        <v>0</v>
      </c>
      <c r="M137" s="731">
        <f>M8*$F$137*(SUM($I70:L70)+SUM($I77:L77)+SUM($I84:L84)+SUM($I115:L115))</f>
        <v>0</v>
      </c>
      <c r="N137" s="731">
        <f>N8*$F$137*(SUM($I70:M70)+SUM($I77:M77)+SUM($I84:M84)+SUM($I115:M115))</f>
        <v>0</v>
      </c>
      <c r="O137" s="731">
        <f>O8*$F$137*(SUM($I70:N70)+SUM($I77:N77)+SUM($I84:N84)+SUM($I115:N115))</f>
        <v>0</v>
      </c>
      <c r="P137" s="731">
        <f>P8*$F$137*(SUM($I70:O70)+SUM($I77:O77)+SUM($I84:O84)+SUM($I115:O115))</f>
        <v>0</v>
      </c>
      <c r="Q137" s="735">
        <f>Q8*$F$137*(SUM($I70:P70)+SUM($I77:P77)+SUM($I84:P84)+SUM($I115:P115))</f>
        <v>0</v>
      </c>
      <c r="R137" s="731">
        <f>R8*$F$137*(SUM($I70:Q70)+SUM($I77:Q77)+SUM($I84:Q84)+SUM($I115:Q115))</f>
        <v>0</v>
      </c>
      <c r="S137" s="731">
        <f>S8*$F$137*(SUM($I70:R70)+SUM($I77:R77)+SUM($I84:R84)+SUM($I115:R115))</f>
        <v>0</v>
      </c>
      <c r="T137" s="731">
        <f>T8*$F$137*(SUM($I70:S70)+SUM($I77:S77)+SUM($I84:S84)+SUM($I115:S115))</f>
        <v>0</v>
      </c>
      <c r="U137" s="731">
        <f>U8*$F$137*(SUM($I70:T70)+SUM($I77:T77)+SUM($I84:T84)+SUM($I115:T115))</f>
        <v>0</v>
      </c>
      <c r="V137" s="731">
        <f>V8*$F$137*(SUM($I70:U70)+SUM($I77:U77)+SUM($I84:U84)+SUM($I115:U115))</f>
        <v>0</v>
      </c>
      <c r="W137" s="731">
        <f>W8*$F$137*(SUM($I70:V70)+SUM($I77:V77)+SUM($I84:V84)+SUM($I115:V115))</f>
        <v>0</v>
      </c>
      <c r="X137" s="731">
        <f>X8*$F$137*(SUM($I70:W70)+SUM($I77:W77)+SUM($I84:W84)+SUM($I115:W115))</f>
        <v>0</v>
      </c>
      <c r="Y137" s="731">
        <f>Y8*$F$137*(SUM($I70:X70)+SUM($I77:X77)+SUM($I84:X84)+SUM($I115:X115))</f>
        <v>0</v>
      </c>
      <c r="Z137" s="731">
        <f>Z8*$F$137*(SUM($I70:Y70)+SUM($I77:Y77)+SUM($I84:Y84)+SUM($I115:Y115))</f>
        <v>0</v>
      </c>
      <c r="AA137" s="731">
        <f>AA8*$F$137*(SUM($I70:Z70)+SUM($I77:Z77)+SUM($I84:Z84)+SUM($I115:Z115))</f>
        <v>0</v>
      </c>
      <c r="AB137" s="731">
        <f>AB8*$F$137*(SUM($I70:AA70)+SUM($I77:AA77)+SUM($I84:AA84)+SUM($I115:AA115))</f>
        <v>0</v>
      </c>
      <c r="AC137" s="731">
        <f>AC8*$F$137*(SUM($I70:AB70)+SUM($I77:AB77)+SUM($I84:AB84)+SUM($I115:AB115))</f>
        <v>0</v>
      </c>
      <c r="AD137" s="731">
        <f>AD8*$F$137*(SUM($I70:AC70)+SUM($I77:AC77)+SUM($I84:AC84)+SUM($I115:AC115))</f>
        <v>0</v>
      </c>
      <c r="AE137" s="731">
        <f>AE8*$F$137*(SUM($I70:AD70)+SUM($I77:AD77)+SUM($I84:AD84)+SUM($I115:AD115))</f>
        <v>0</v>
      </c>
      <c r="AF137" s="731">
        <f>AF8*$F$137*(SUM($I70:AE70)+SUM($I77:AE77)+SUM($I84:AE84)+SUM($I115:AE115))</f>
        <v>0</v>
      </c>
      <c r="AG137" s="731">
        <f>AG8*$F$137*(SUM($I70:AF70)+SUM($I77:AF77)+SUM($I84:AF84)+SUM($I115:AF115))</f>
        <v>0</v>
      </c>
      <c r="AH137" s="731">
        <f>AH8*$F$137*(SUM($I70:AG70)+SUM($I77:AG77)+SUM($I84:AG84)+SUM($I115:AG115))</f>
        <v>0</v>
      </c>
      <c r="AI137" s="731">
        <f>AI8*$F$137*(SUM($I70:AH70)+SUM($I77:AH77)+SUM($I84:AH84)+SUM($I115:AH115))</f>
        <v>0</v>
      </c>
      <c r="AJ137" s="731">
        <f>AJ8*$F$137*(SUM($I70:AI70)+SUM($I77:AI77)+SUM($I84:AI84)+SUM($I115:AI115))</f>
        <v>0</v>
      </c>
      <c r="AK137" s="731">
        <f>AK8*$F$137*(SUM($I70:AJ70)+SUM($I77:AJ77)+SUM($I84:AJ84)+SUM($I115:AJ115))</f>
        <v>0</v>
      </c>
      <c r="AL137" s="731">
        <f>AL8*$F$137*(SUM($I70:AK70)+SUM($I77:AK77)+SUM($I84:AK84)+SUM($I115:AK115))</f>
        <v>0</v>
      </c>
      <c r="AM137" s="731">
        <f>AM8*$F$137*(SUM($I70:AL70)+SUM($I77:AL77)+SUM($I84:AL84)+SUM($I115:AL115))</f>
        <v>0</v>
      </c>
      <c r="AN137" s="731">
        <f>AN8*$F$137*(SUM($I70:AM70)+SUM($I77:AM77)+SUM($I84:AM84)+SUM($I115:AM115))</f>
        <v>0</v>
      </c>
      <c r="AO137" s="731"/>
    </row>
    <row r="138" spans="1:41" s="762" customFormat="1" x14ac:dyDescent="0.25">
      <c r="A138" s="761"/>
      <c r="B138" s="731"/>
      <c r="C138" s="731"/>
      <c r="D138" s="731"/>
      <c r="E138" s="778" t="s">
        <v>569</v>
      </c>
      <c r="F138" s="758">
        <f>Kpiek_ond</f>
        <v>0.03</v>
      </c>
      <c r="G138" s="758" t="str">
        <f>'ORT uitgangspunten'!H52</f>
        <v>% van capex</v>
      </c>
      <c r="H138" s="770"/>
      <c r="I138" s="770"/>
      <c r="J138" s="734">
        <f>J8*$F$138*(SUM($I112:I112))</f>
        <v>0</v>
      </c>
      <c r="K138" s="731">
        <f>K8*$F$138*(SUM($I112:J112))</f>
        <v>0</v>
      </c>
      <c r="L138" s="731">
        <f>L8*$F$138*(SUM($I112:K112))</f>
        <v>0</v>
      </c>
      <c r="M138" s="731">
        <f>M8*$F$138*(SUM($I112:L112))</f>
        <v>0</v>
      </c>
      <c r="N138" s="731">
        <f>N8*$F$138*(SUM($I112:M112))</f>
        <v>0</v>
      </c>
      <c r="O138" s="731">
        <f>O8*$F$138*(SUM($I112:N112))</f>
        <v>0</v>
      </c>
      <c r="P138" s="731">
        <f>P8*$F$138*(SUM($I112:O112))</f>
        <v>0</v>
      </c>
      <c r="Q138" s="735">
        <f>Q8*$F$138*(SUM($I112:P112))</f>
        <v>0</v>
      </c>
      <c r="R138" s="731">
        <f>R8*$F$138*(SUM($I112:Q112))</f>
        <v>0</v>
      </c>
      <c r="S138" s="731">
        <f>S8*$F$138*(SUM($I112:R112))</f>
        <v>0</v>
      </c>
      <c r="T138" s="731">
        <f>T8*$F$138*(SUM($I112:S112))</f>
        <v>0</v>
      </c>
      <c r="U138" s="731">
        <f>U8*$F$138*(SUM($I112:T112))</f>
        <v>0</v>
      </c>
      <c r="V138" s="731">
        <f>V8*$F$138*(SUM($I112:U112))</f>
        <v>0</v>
      </c>
      <c r="W138" s="731">
        <f>W8*$F$138*(SUM($I112:V112))</f>
        <v>0</v>
      </c>
      <c r="X138" s="731">
        <f>X8*$F$138*(SUM($I112:W112))</f>
        <v>0</v>
      </c>
      <c r="Y138" s="731">
        <f>Y8*$F$138*(SUM($I112:X112))</f>
        <v>0</v>
      </c>
      <c r="Z138" s="731">
        <f>Z8*$F$138*(SUM($I112:Y112))</f>
        <v>0</v>
      </c>
      <c r="AA138" s="731">
        <f>AA8*$F$138*(SUM($I112:Z112))</f>
        <v>0</v>
      </c>
      <c r="AB138" s="731">
        <f>AB8*$F$138*(SUM($I112:AA112))</f>
        <v>0</v>
      </c>
      <c r="AC138" s="731">
        <f>AC8*$F$138*(SUM($I112:AB112))</f>
        <v>0</v>
      </c>
      <c r="AD138" s="731">
        <f>AD8*$F$138*(SUM($I112:AC112))</f>
        <v>0</v>
      </c>
      <c r="AE138" s="731">
        <f>AE8*$F$138*(SUM($I112:AD112))</f>
        <v>0</v>
      </c>
      <c r="AF138" s="731">
        <f>AF8*$F$138*(SUM($I112:AE112))</f>
        <v>0</v>
      </c>
      <c r="AG138" s="731">
        <f>AG8*$F$138*(SUM($I112:AF112))</f>
        <v>0</v>
      </c>
      <c r="AH138" s="731">
        <f>AH8*$F$138*(SUM($I112:AG112))</f>
        <v>0</v>
      </c>
      <c r="AI138" s="731">
        <f>AI8*$F$138*(SUM($I112:AH112))</f>
        <v>0</v>
      </c>
      <c r="AJ138" s="731">
        <f>AJ8*$F$138*(SUM($I112:AI112))</f>
        <v>0</v>
      </c>
      <c r="AK138" s="731">
        <f>AK8*$F$138*(SUM($I112:AJ112))</f>
        <v>0</v>
      </c>
      <c r="AL138" s="731">
        <f>AL8*$F$138*(SUM($I112:AK112))</f>
        <v>0</v>
      </c>
      <c r="AM138" s="731">
        <f>AM8*$F$138*(SUM($I112:AL112))</f>
        <v>0</v>
      </c>
      <c r="AN138" s="731">
        <f>AN8*$F$138*(SUM($I112:AM112))</f>
        <v>0</v>
      </c>
      <c r="AO138" s="731"/>
    </row>
    <row r="139" spans="1:41" s="762" customFormat="1" x14ac:dyDescent="0.25">
      <c r="A139" s="761"/>
      <c r="B139" s="731"/>
      <c r="C139" s="731"/>
      <c r="D139" s="731"/>
      <c r="E139" s="778" t="s">
        <v>570</v>
      </c>
      <c r="F139" s="766"/>
      <c r="G139" s="763" t="s">
        <v>534</v>
      </c>
      <c r="H139" s="770"/>
      <c r="I139" s="770"/>
      <c r="J139" s="768">
        <f>SUM(J135:J138)</f>
        <v>0</v>
      </c>
      <c r="K139" s="766">
        <f t="shared" ref="K139:AN139" si="24">SUM(K135:K138)</f>
        <v>0</v>
      </c>
      <c r="L139" s="766">
        <f t="shared" si="24"/>
        <v>0</v>
      </c>
      <c r="M139" s="766">
        <f t="shared" si="24"/>
        <v>0</v>
      </c>
      <c r="N139" s="766">
        <f t="shared" si="24"/>
        <v>0</v>
      </c>
      <c r="O139" s="766">
        <f t="shared" si="24"/>
        <v>0</v>
      </c>
      <c r="P139" s="766">
        <f t="shared" si="24"/>
        <v>0</v>
      </c>
      <c r="Q139" s="769">
        <f t="shared" si="24"/>
        <v>0</v>
      </c>
      <c r="R139" s="766">
        <f t="shared" si="24"/>
        <v>0</v>
      </c>
      <c r="S139" s="766">
        <f t="shared" si="24"/>
        <v>0</v>
      </c>
      <c r="T139" s="766">
        <f t="shared" si="24"/>
        <v>0</v>
      </c>
      <c r="U139" s="766">
        <f t="shared" si="24"/>
        <v>0</v>
      </c>
      <c r="V139" s="766">
        <f t="shared" si="24"/>
        <v>0</v>
      </c>
      <c r="W139" s="766">
        <f t="shared" si="24"/>
        <v>0</v>
      </c>
      <c r="X139" s="766">
        <f t="shared" si="24"/>
        <v>0</v>
      </c>
      <c r="Y139" s="766">
        <f t="shared" si="24"/>
        <v>0</v>
      </c>
      <c r="Z139" s="766">
        <f t="shared" si="24"/>
        <v>0</v>
      </c>
      <c r="AA139" s="766">
        <f t="shared" si="24"/>
        <v>0</v>
      </c>
      <c r="AB139" s="766">
        <f t="shared" si="24"/>
        <v>0</v>
      </c>
      <c r="AC139" s="766">
        <f t="shared" si="24"/>
        <v>0</v>
      </c>
      <c r="AD139" s="766">
        <f t="shared" si="24"/>
        <v>0</v>
      </c>
      <c r="AE139" s="766">
        <f t="shared" si="24"/>
        <v>0</v>
      </c>
      <c r="AF139" s="766">
        <f t="shared" si="24"/>
        <v>0</v>
      </c>
      <c r="AG139" s="766">
        <f t="shared" si="24"/>
        <v>0</v>
      </c>
      <c r="AH139" s="766">
        <f t="shared" si="24"/>
        <v>0</v>
      </c>
      <c r="AI139" s="766">
        <f t="shared" si="24"/>
        <v>0</v>
      </c>
      <c r="AJ139" s="766">
        <f t="shared" si="24"/>
        <v>0</v>
      </c>
      <c r="AK139" s="766">
        <f t="shared" si="24"/>
        <v>0</v>
      </c>
      <c r="AL139" s="766">
        <f t="shared" si="24"/>
        <v>0</v>
      </c>
      <c r="AM139" s="766">
        <f t="shared" si="24"/>
        <v>0</v>
      </c>
      <c r="AN139" s="766">
        <f t="shared" si="24"/>
        <v>0</v>
      </c>
      <c r="AO139" s="731"/>
    </row>
    <row r="140" spans="1:41" s="762" customFormat="1" x14ac:dyDescent="0.25">
      <c r="A140" s="761"/>
      <c r="B140" s="731"/>
      <c r="C140" s="731"/>
      <c r="D140" s="731"/>
      <c r="E140" s="778"/>
      <c r="F140" s="770"/>
      <c r="G140" s="770"/>
      <c r="H140" s="770"/>
      <c r="I140" s="770"/>
      <c r="J140" s="734"/>
      <c r="K140" s="731"/>
      <c r="L140" s="731"/>
      <c r="M140" s="731"/>
      <c r="N140" s="731"/>
      <c r="O140" s="731"/>
      <c r="P140" s="731"/>
      <c r="Q140" s="735"/>
      <c r="R140" s="731"/>
      <c r="S140" s="731"/>
      <c r="T140" s="731"/>
      <c r="U140" s="731"/>
      <c r="V140" s="731"/>
      <c r="W140" s="731"/>
      <c r="X140" s="731"/>
      <c r="Y140" s="731"/>
      <c r="Z140" s="731"/>
      <c r="AA140" s="731"/>
      <c r="AB140" s="731"/>
      <c r="AC140" s="731"/>
      <c r="AD140" s="731"/>
      <c r="AE140" s="731"/>
      <c r="AF140" s="731"/>
      <c r="AG140" s="731"/>
      <c r="AH140" s="731"/>
      <c r="AI140" s="731"/>
      <c r="AJ140" s="731"/>
      <c r="AK140" s="731"/>
      <c r="AL140" s="731"/>
      <c r="AM140" s="731"/>
      <c r="AN140" s="731"/>
      <c r="AO140" s="731"/>
    </row>
    <row r="141" spans="1:41" s="763" customFormat="1" x14ac:dyDescent="0.25">
      <c r="A141" s="787"/>
      <c r="B141" s="774"/>
      <c r="C141" s="774"/>
      <c r="D141" s="774"/>
      <c r="E141" s="763" t="s">
        <v>571</v>
      </c>
      <c r="F141" s="798">
        <f>OH_AS</f>
        <v>34</v>
      </c>
      <c r="G141" s="774" t="s">
        <v>572</v>
      </c>
      <c r="H141" s="774"/>
      <c r="I141" s="774"/>
      <c r="J141" s="785"/>
      <c r="K141" s="774"/>
      <c r="L141" s="774"/>
      <c r="M141" s="774"/>
      <c r="N141" s="774"/>
      <c r="O141" s="774"/>
      <c r="P141" s="774"/>
      <c r="Q141" s="786"/>
      <c r="R141" s="774"/>
      <c r="S141" s="774"/>
      <c r="T141" s="774"/>
      <c r="U141" s="774"/>
      <c r="V141" s="774"/>
      <c r="W141" s="774"/>
      <c r="X141" s="774"/>
      <c r="Y141" s="774"/>
      <c r="Z141" s="774"/>
      <c r="AA141" s="774"/>
      <c r="AB141" s="774"/>
      <c r="AC141" s="774"/>
      <c r="AD141" s="774"/>
      <c r="AE141" s="774"/>
      <c r="AF141" s="774"/>
      <c r="AG141" s="774"/>
      <c r="AH141" s="774"/>
      <c r="AI141" s="774"/>
      <c r="AJ141" s="774"/>
      <c r="AK141" s="774"/>
      <c r="AL141" s="774"/>
      <c r="AM141" s="774"/>
      <c r="AN141" s="774"/>
      <c r="AO141" s="774"/>
    </row>
    <row r="142" spans="1:41" s="762" customFormat="1" x14ac:dyDescent="0.25">
      <c r="A142" s="761"/>
      <c r="B142" s="731"/>
      <c r="C142" s="731"/>
      <c r="D142" s="731"/>
      <c r="E142" s="778" t="s">
        <v>573</v>
      </c>
      <c r="F142" s="766"/>
      <c r="G142" s="763" t="s">
        <v>534</v>
      </c>
      <c r="H142" s="770"/>
      <c r="I142" s="770"/>
      <c r="J142" s="768">
        <f>J8 * $F$141 * (SUM($I68:I68) + SUM($I75:I75) + SUM(I82:$I82) +SUM($I89:I89)  )</f>
        <v>0</v>
      </c>
      <c r="K142" s="766">
        <f>K8 * $F$141 * (SUM($I68:J68) + SUM($I75:J75) + SUM($I82:J82) +SUM($I89:J89)  )</f>
        <v>0</v>
      </c>
      <c r="L142" s="766">
        <f>L8 * $F$141 * (SUM($I68:K68) + SUM($I75:K75) + SUM($I82:K82) +SUM($I89:K89)  )</f>
        <v>0</v>
      </c>
      <c r="M142" s="766">
        <f>M8 * $F$141 * (SUM($I68:L68) + SUM($I75:L75) + SUM($I82:L82) +SUM($I89:L89)  )</f>
        <v>0</v>
      </c>
      <c r="N142" s="766">
        <f>N8 * $F$141 * (SUM($I68:M68) + SUM($I75:M75) + SUM($I82:M82) +SUM($I89:M89)  )</f>
        <v>0</v>
      </c>
      <c r="O142" s="766">
        <f>O8 * $F$141 * (SUM($I68:N68) + SUM($I75:N75) + SUM($I82:N82) +SUM($I89:N89)  )</f>
        <v>0</v>
      </c>
      <c r="P142" s="766">
        <f>P8 * $F$141 * (SUM($I68:O68) + SUM($I75:O75) + SUM($I82:O82) +SUM($I89:O89)  )</f>
        <v>0</v>
      </c>
      <c r="Q142" s="769">
        <f>Q8 * $F$141 * (SUM($I68:P68) + SUM($I75:P75) + SUM($I82:P82) +SUM($I89:P89)  )</f>
        <v>0</v>
      </c>
      <c r="R142" s="766">
        <f>R8 * $F$141 * (SUM($I68:Q68) + SUM($I75:Q75) + SUM($I82:Q82) +SUM($I89:Q89)  )</f>
        <v>0</v>
      </c>
      <c r="S142" s="766">
        <f>S8 * $F$141 * (SUM($I68:R68) + SUM($I75:R75) + SUM($I82:R82) +SUM($I89:R89)  )</f>
        <v>0</v>
      </c>
      <c r="T142" s="766">
        <f>T8 * $F$141 * (SUM($I68:S68) + SUM($I75:S75) + SUM($I82:S82) +SUM($I89:S89)  )</f>
        <v>0</v>
      </c>
      <c r="U142" s="766">
        <f>U8 * $F$141 * (SUM($I68:T68) + SUM($I75:T75) + SUM($I82:T82) +SUM($I89:T89)  )</f>
        <v>0</v>
      </c>
      <c r="V142" s="766">
        <f>V8 * $F$141 * (SUM($I68:U68) + SUM($I75:U75) + SUM($I82:U82) +SUM($I89:U89)  )</f>
        <v>0</v>
      </c>
      <c r="W142" s="766">
        <f>W8 * $F$141 * (SUM($I68:V68) + SUM($I75:V75) + SUM($I82:V82) +SUM($I89:V89)  )</f>
        <v>0</v>
      </c>
      <c r="X142" s="766">
        <f>X8 * $F$141 * (SUM($I68:W68) + SUM($I75:W75) + SUM($I82:W82) +SUM($I89:W89)  )</f>
        <v>0</v>
      </c>
      <c r="Y142" s="766">
        <f>Y8 * $F$141 * (SUM($I68:X68) + SUM($I75:X75) + SUM($I82:X82) +SUM($I89:X89)  )</f>
        <v>0</v>
      </c>
      <c r="Z142" s="766">
        <f>Z8 * $F$141 * (SUM($I68:Y68) + SUM($I75:Y75) + SUM($I82:Y82) +SUM($I89:Y89)  )</f>
        <v>0</v>
      </c>
      <c r="AA142" s="766">
        <f>AA8 * $F$141 * (SUM($I68:Z68) + SUM($I75:Z75) + SUM($I82:Z82) +SUM($I89:Z89)  )</f>
        <v>0</v>
      </c>
      <c r="AB142" s="766">
        <f>AB8 * $F$141 * (SUM($I68:AA68) + SUM($I75:AA75) + SUM($I82:AA82) +SUM($I89:AA89)  )</f>
        <v>0</v>
      </c>
      <c r="AC142" s="766">
        <f>AC8 * $F$141 * (SUM($I68:AB68) + SUM($I75:AB75) + SUM($I82:AB82) +SUM($I89:AB89)  )</f>
        <v>0</v>
      </c>
      <c r="AD142" s="766">
        <f>AD8 * $F$141 * (SUM($I68:AC68) + SUM($I75:AC75) + SUM($I82:AC82) +SUM($I89:AC89)  )</f>
        <v>0</v>
      </c>
      <c r="AE142" s="766">
        <f>AE8 * $F$141 * (SUM($I68:AD68) + SUM($I75:AD75) + SUM($I82:AD82) +SUM($I89:AD89)  )</f>
        <v>0</v>
      </c>
      <c r="AF142" s="766">
        <f>AF8 * $F$141 * (SUM($I68:AE68) + SUM($I75:AE75) + SUM($I82:AE82) +SUM($I89:AE89)  )</f>
        <v>0</v>
      </c>
      <c r="AG142" s="766">
        <f>AG8 * $F$141 * (SUM($I68:AF68) + SUM($I75:AF75) + SUM($I82:AF82) +SUM($I89:AF89)  )</f>
        <v>0</v>
      </c>
      <c r="AH142" s="766">
        <f>AH8 * $F$141 * (SUM($I68:AG68) + SUM($I75:AG75) + SUM($I82:AG82) +SUM($I89:AG89)  )</f>
        <v>0</v>
      </c>
      <c r="AI142" s="766">
        <f>AI8 * $F$141 * (SUM($I68:AH68) + SUM($I75:AH75) + SUM($I82:AH82) +SUM($I89:AH89)  )</f>
        <v>0</v>
      </c>
      <c r="AJ142" s="766">
        <f>AJ8 * $F$141 * (SUM($I68:AI68) + SUM($I75:AI75) + SUM($I82:AI82) +SUM($I89:AI89)  )</f>
        <v>0</v>
      </c>
      <c r="AK142" s="766">
        <f>AK8 * $F$141 * (SUM($I68:AJ68) + SUM($I75:AJ75) + SUM($I82:AJ82) +SUM($I89:AJ89)  )</f>
        <v>0</v>
      </c>
      <c r="AL142" s="766">
        <f>AL8 * $F$141 * (SUM($I68:AK68) + SUM($I75:AK75) + SUM($I82:AK82) +SUM($I89:AK89)  )</f>
        <v>0</v>
      </c>
      <c r="AM142" s="766">
        <f>AM8 * $F$141 * (SUM($I68:AL68) + SUM($I75:AL75) + SUM($I82:AL82) +SUM($I89:AL89)  )</f>
        <v>0</v>
      </c>
      <c r="AN142" s="766">
        <f>AN8 * $F$141 * (SUM($I68:AM68) + SUM($I75:AM75) + SUM($I82:AM82) +SUM($I89:AM89)  )</f>
        <v>0</v>
      </c>
      <c r="AO142" s="731"/>
    </row>
    <row r="143" spans="1:41" s="762" customFormat="1" x14ac:dyDescent="0.25">
      <c r="A143" s="761"/>
      <c r="B143" s="731"/>
      <c r="C143" s="731"/>
      <c r="D143" s="731"/>
      <c r="E143" s="778"/>
      <c r="F143" s="770"/>
      <c r="G143" s="770"/>
      <c r="H143" s="770"/>
      <c r="I143" s="770"/>
      <c r="J143" s="734"/>
      <c r="K143" s="731"/>
      <c r="L143" s="731"/>
      <c r="M143" s="731"/>
      <c r="N143" s="731"/>
      <c r="O143" s="731"/>
      <c r="P143" s="731"/>
      <c r="Q143" s="735"/>
      <c r="R143" s="731"/>
      <c r="S143" s="731"/>
      <c r="T143" s="731"/>
      <c r="U143" s="731"/>
      <c r="V143" s="731"/>
      <c r="W143" s="731"/>
      <c r="X143" s="731"/>
      <c r="Y143" s="731"/>
      <c r="Z143" s="731"/>
      <c r="AA143" s="731"/>
      <c r="AB143" s="731"/>
      <c r="AC143" s="731"/>
      <c r="AD143" s="731"/>
      <c r="AE143" s="731"/>
      <c r="AF143" s="731"/>
      <c r="AG143" s="731"/>
      <c r="AH143" s="731"/>
      <c r="AI143" s="731"/>
      <c r="AJ143" s="731"/>
      <c r="AK143" s="731"/>
      <c r="AL143" s="731"/>
      <c r="AM143" s="731"/>
      <c r="AN143" s="731"/>
      <c r="AO143" s="731"/>
    </row>
    <row r="144" spans="1:41" s="763" customFormat="1" x14ac:dyDescent="0.25">
      <c r="A144" s="787"/>
      <c r="B144" s="774"/>
      <c r="C144" s="787"/>
      <c r="D144" s="774"/>
      <c r="E144" s="763" t="str">
        <f>'ORT uitgangspunten'!E54</f>
        <v>Administratieve lasten</v>
      </c>
      <c r="F144" s="774">
        <f>'ORT uitgangspunten'!G54</f>
        <v>70</v>
      </c>
      <c r="G144" s="774" t="str">
        <f>'ORT uitgangspunten'!H54</f>
        <v>[€/jaar/#]</v>
      </c>
      <c r="H144" s="774"/>
      <c r="I144" s="774"/>
      <c r="J144" s="785"/>
      <c r="K144" s="774"/>
      <c r="L144" s="774"/>
      <c r="M144" s="774"/>
      <c r="N144" s="774"/>
      <c r="O144" s="774"/>
      <c r="P144" s="774"/>
      <c r="Q144" s="786"/>
      <c r="R144" s="774"/>
      <c r="S144" s="774"/>
      <c r="T144" s="774"/>
      <c r="U144" s="774"/>
      <c r="V144" s="774"/>
      <c r="W144" s="774"/>
      <c r="X144" s="774"/>
      <c r="Y144" s="774"/>
      <c r="Z144" s="774"/>
      <c r="AA144" s="774"/>
      <c r="AB144" s="774"/>
      <c r="AC144" s="774"/>
      <c r="AD144" s="774"/>
      <c r="AE144" s="774"/>
      <c r="AF144" s="774"/>
      <c r="AG144" s="774"/>
      <c r="AH144" s="774"/>
      <c r="AI144" s="774"/>
      <c r="AJ144" s="774"/>
      <c r="AK144" s="774"/>
      <c r="AL144" s="774"/>
      <c r="AM144" s="774"/>
      <c r="AN144" s="774"/>
      <c r="AO144" s="774"/>
    </row>
    <row r="145" spans="1:41" s="762" customFormat="1" x14ac:dyDescent="0.25">
      <c r="A145" s="761"/>
      <c r="B145" s="731"/>
      <c r="C145" s="761"/>
      <c r="D145" s="731"/>
      <c r="E145" s="778" t="s">
        <v>574</v>
      </c>
      <c r="F145" s="766"/>
      <c r="G145" s="758" t="s">
        <v>534</v>
      </c>
      <c r="H145" s="731"/>
      <c r="I145" s="731"/>
      <c r="J145" s="768">
        <f>J8 * $F$144 * (SUM($I68:I68) + SUM($I75:I75) + SUM($I82:I82) + SUM($I89:I89) )</f>
        <v>0</v>
      </c>
      <c r="K145" s="766">
        <f>K8 * $F$144 * (SUM($I68:J68) + SUM($I75:J75) + SUM($I82:J82) + SUM($I89:J89) )</f>
        <v>0</v>
      </c>
      <c r="L145" s="766">
        <f>L8 * $F$144 * (SUM($I68:K68) + SUM($I75:K75) + SUM($I82:K82) + SUM($I89:K89) )</f>
        <v>0</v>
      </c>
      <c r="M145" s="766">
        <f>M8 * $F$144 * (SUM($I68:L68) + SUM($I75:L75) + SUM($I82:L82) + SUM($I89:L89) )</f>
        <v>0</v>
      </c>
      <c r="N145" s="766">
        <f>N8 * $F$144 * (SUM($I68:M68) + SUM($I75:M75) + SUM($I82:M82) + SUM($I89:M89) )</f>
        <v>0</v>
      </c>
      <c r="O145" s="766">
        <f>O8 * $F$144 * (SUM($I68:N68) + SUM($I75:N75) + SUM($I82:N82) + SUM($I89:N89) )</f>
        <v>0</v>
      </c>
      <c r="P145" s="766">
        <f>P8 * $F$144 * (SUM($I68:O68) + SUM($I75:O75) + SUM($I82:O82) + SUM($I89:O89) )</f>
        <v>0</v>
      </c>
      <c r="Q145" s="769">
        <f>Q8 * $F$144 * (SUM($I68:P68) + SUM($I75:P75) + SUM($I82:P82) + SUM($I89:P89) )</f>
        <v>0</v>
      </c>
      <c r="R145" s="766">
        <f>R8 * $F$144 * (SUM($I68:Q68) + SUM($I75:Q75) + SUM($I82:Q82) + SUM($I89:Q89) )</f>
        <v>0</v>
      </c>
      <c r="S145" s="766">
        <f>S8 * $F$144 * (SUM($I68:R68) + SUM($I75:R75) + SUM($I82:R82) + SUM($I89:R89) )</f>
        <v>0</v>
      </c>
      <c r="T145" s="766">
        <f>T8 * $F$144 * (SUM($I68:S68) + SUM($I75:S75) + SUM($I82:S82) + SUM($I89:S89) )</f>
        <v>0</v>
      </c>
      <c r="U145" s="766">
        <f>U8 * $F$144 * (SUM($I68:T68) + SUM($I75:T75) + SUM($I82:T82) + SUM($I89:T89) )</f>
        <v>0</v>
      </c>
      <c r="V145" s="766">
        <f>V8 * $F$144 * (SUM($I68:U68) + SUM($I75:U75) + SUM($I82:U82) + SUM($I89:U89) )</f>
        <v>0</v>
      </c>
      <c r="W145" s="766">
        <f>W8 * $F$144 * (SUM($I68:V68) + SUM($I75:V75) + SUM($I82:V82) + SUM($I89:V89) )</f>
        <v>0</v>
      </c>
      <c r="X145" s="766">
        <f>X8 * $F$144 * (SUM($I68:W68) + SUM($I75:W75) + SUM($I82:W82) + SUM($I89:W89) )</f>
        <v>0</v>
      </c>
      <c r="Y145" s="766">
        <f>Y8 * $F$144 * (SUM($I68:X68) + SUM($I75:X75) + SUM($I82:X82) + SUM($I89:X89) )</f>
        <v>0</v>
      </c>
      <c r="Z145" s="766">
        <f>Z8 * $F$144 * (SUM($I68:Y68) + SUM($I75:Y75) + SUM($I82:Y82) + SUM($I89:Y89) )</f>
        <v>0</v>
      </c>
      <c r="AA145" s="766">
        <f>AA8 * $F$144 * (SUM($I68:Z68) + SUM($I75:Z75) + SUM($I82:Z82) + SUM($I89:Z89) )</f>
        <v>0</v>
      </c>
      <c r="AB145" s="766">
        <f>AB8 * $F$144 * (SUM($I68:AA68) + SUM($I75:AA75) + SUM($I82:AA82) + SUM($I89:AA89) )</f>
        <v>0</v>
      </c>
      <c r="AC145" s="766">
        <f>AC8 * $F$144 * (SUM($I68:AB68) + SUM($I75:AB75) + SUM($I82:AB82) + SUM($I89:AB89) )</f>
        <v>0</v>
      </c>
      <c r="AD145" s="766">
        <f>AD8 * $F$144 * (SUM($I68:AC68) + SUM($I75:AC75) + SUM($I82:AC82) + SUM($I89:AC89) )</f>
        <v>0</v>
      </c>
      <c r="AE145" s="766">
        <f>AE8 * $F$144 * (SUM($I68:AD68) + SUM($I75:AD75) + SUM($I82:AD82) + SUM($I89:AD89) )</f>
        <v>0</v>
      </c>
      <c r="AF145" s="766">
        <f>AF8 * $F$144 * (SUM($I68:AE68) + SUM($I75:AE75) + SUM($I82:AE82) + SUM($I89:AE89) )</f>
        <v>0</v>
      </c>
      <c r="AG145" s="766">
        <f>AG8 * $F$144 * (SUM($I68:AF68) + SUM($I75:AF75) + SUM($I82:AF82) + SUM($I89:AF89) )</f>
        <v>0</v>
      </c>
      <c r="AH145" s="766">
        <f>AH8 * $F$144 * (SUM($I68:AG68) + SUM($I75:AG75) + SUM($I82:AG82) + SUM($I89:AG89) )</f>
        <v>0</v>
      </c>
      <c r="AI145" s="766">
        <f>AI8 * $F$144 * (SUM($I68:AH68) + SUM($I75:AH75) + SUM($I82:AH82) + SUM($I89:AH89) )</f>
        <v>0</v>
      </c>
      <c r="AJ145" s="766">
        <f>AJ8 * $F$144 * (SUM($I68:AI68) + SUM($I75:AI75) + SUM($I82:AI82) + SUM($I89:AI89) )</f>
        <v>0</v>
      </c>
      <c r="AK145" s="766">
        <f>AK8 * $F$144 * (SUM($I68:AJ68) + SUM($I75:AJ75) + SUM($I82:AJ82) + SUM($I89:AJ89) )</f>
        <v>0</v>
      </c>
      <c r="AL145" s="766">
        <f>AL8 * $F$144 * (SUM($I68:AK68) + SUM($I75:AK75) + SUM($I82:AK82) + SUM($I89:AK89) )</f>
        <v>0</v>
      </c>
      <c r="AM145" s="766">
        <f>AM8 * $F$144 * (SUM($I68:AL68) + SUM($I75:AL75) + SUM($I82:AL82) + SUM($I89:AL89) )</f>
        <v>0</v>
      </c>
      <c r="AN145" s="766">
        <f>AN8 * $F$144 * (SUM($I68:AM68) + SUM($I75:AM75) + SUM($I82:AM82) + SUM($I89:AM89) )</f>
        <v>0</v>
      </c>
      <c r="AO145" s="731"/>
    </row>
    <row r="146" spans="1:41" s="762" customFormat="1" x14ac:dyDescent="0.25">
      <c r="A146" s="761"/>
      <c r="B146" s="731"/>
      <c r="C146" s="761"/>
      <c r="D146" s="731"/>
      <c r="E146" s="731"/>
      <c r="F146" s="731"/>
      <c r="G146" s="731"/>
      <c r="H146" s="731"/>
      <c r="I146" s="731"/>
      <c r="J146" s="734"/>
      <c r="K146" s="731"/>
      <c r="L146" s="731"/>
      <c r="M146" s="731"/>
      <c r="N146" s="731"/>
      <c r="O146" s="731"/>
      <c r="P146" s="731"/>
      <c r="Q146" s="735"/>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row>
    <row r="147" spans="1:41" s="795" customFormat="1" x14ac:dyDescent="0.25">
      <c r="A147" s="741"/>
      <c r="B147" s="799"/>
      <c r="C147" s="799"/>
      <c r="D147" s="799"/>
      <c r="E147" s="799" t="s">
        <v>575</v>
      </c>
      <c r="F147" s="799"/>
      <c r="G147" s="799"/>
      <c r="H147" s="799"/>
      <c r="I147" s="799"/>
      <c r="J147" s="800">
        <f>SUM(J135:J138) + J142 + J145</f>
        <v>0</v>
      </c>
      <c r="K147" s="799">
        <f t="shared" ref="K147:AN147" si="25">SUM(K135:K138) + K142 + K145</f>
        <v>0</v>
      </c>
      <c r="L147" s="799">
        <f t="shared" si="25"/>
        <v>0</v>
      </c>
      <c r="M147" s="799">
        <f>SUM(M135:M138) + M142 + M145</f>
        <v>0</v>
      </c>
      <c r="N147" s="799">
        <f t="shared" si="25"/>
        <v>0</v>
      </c>
      <c r="O147" s="799">
        <f>SUM(O135:O138) + O142 + O145</f>
        <v>0</v>
      </c>
      <c r="P147" s="799">
        <f t="shared" si="25"/>
        <v>0</v>
      </c>
      <c r="Q147" s="801">
        <f t="shared" si="25"/>
        <v>0</v>
      </c>
      <c r="R147" s="799">
        <f t="shared" si="25"/>
        <v>0</v>
      </c>
      <c r="S147" s="799">
        <f t="shared" si="25"/>
        <v>0</v>
      </c>
      <c r="T147" s="799">
        <f t="shared" si="25"/>
        <v>0</v>
      </c>
      <c r="U147" s="799">
        <f t="shared" si="25"/>
        <v>0</v>
      </c>
      <c r="V147" s="799">
        <f t="shared" si="25"/>
        <v>0</v>
      </c>
      <c r="W147" s="799">
        <f t="shared" si="25"/>
        <v>0</v>
      </c>
      <c r="X147" s="799">
        <f t="shared" si="25"/>
        <v>0</v>
      </c>
      <c r="Y147" s="799">
        <f t="shared" si="25"/>
        <v>0</v>
      </c>
      <c r="Z147" s="799">
        <f t="shared" si="25"/>
        <v>0</v>
      </c>
      <c r="AA147" s="799">
        <f t="shared" si="25"/>
        <v>0</v>
      </c>
      <c r="AB147" s="799">
        <f t="shared" si="25"/>
        <v>0</v>
      </c>
      <c r="AC147" s="799">
        <f t="shared" si="25"/>
        <v>0</v>
      </c>
      <c r="AD147" s="799">
        <f t="shared" si="25"/>
        <v>0</v>
      </c>
      <c r="AE147" s="799">
        <f t="shared" si="25"/>
        <v>0</v>
      </c>
      <c r="AF147" s="799">
        <f t="shared" si="25"/>
        <v>0</v>
      </c>
      <c r="AG147" s="799">
        <f t="shared" si="25"/>
        <v>0</v>
      </c>
      <c r="AH147" s="799">
        <f t="shared" si="25"/>
        <v>0</v>
      </c>
      <c r="AI147" s="799">
        <f t="shared" si="25"/>
        <v>0</v>
      </c>
      <c r="AJ147" s="799">
        <f t="shared" si="25"/>
        <v>0</v>
      </c>
      <c r="AK147" s="799">
        <f t="shared" si="25"/>
        <v>0</v>
      </c>
      <c r="AL147" s="799">
        <f t="shared" si="25"/>
        <v>0</v>
      </c>
      <c r="AM147" s="799">
        <f t="shared" si="25"/>
        <v>0</v>
      </c>
      <c r="AN147" s="799">
        <f t="shared" si="25"/>
        <v>0</v>
      </c>
      <c r="AO147" s="799"/>
    </row>
    <row r="148" spans="1:41" s="762" customFormat="1" x14ac:dyDescent="0.25">
      <c r="A148" s="761"/>
      <c r="B148" s="731"/>
      <c r="C148" s="731"/>
      <c r="D148" s="731"/>
      <c r="E148" s="774"/>
      <c r="F148" s="774"/>
      <c r="G148" s="774"/>
      <c r="H148" s="774"/>
      <c r="I148" s="774"/>
      <c r="J148" s="785"/>
      <c r="K148" s="774"/>
      <c r="L148" s="774"/>
      <c r="M148" s="774"/>
      <c r="N148" s="774"/>
      <c r="O148" s="774"/>
      <c r="P148" s="774"/>
      <c r="Q148" s="786"/>
      <c r="R148" s="774"/>
      <c r="S148" s="774"/>
      <c r="T148" s="774"/>
      <c r="U148" s="774"/>
      <c r="V148" s="774"/>
      <c r="W148" s="774"/>
      <c r="X148" s="774"/>
      <c r="Y148" s="774"/>
      <c r="Z148" s="774"/>
      <c r="AA148" s="774"/>
      <c r="AB148" s="774"/>
      <c r="AC148" s="774"/>
      <c r="AD148" s="774"/>
      <c r="AE148" s="774"/>
      <c r="AF148" s="774"/>
      <c r="AG148" s="774"/>
      <c r="AH148" s="774"/>
      <c r="AI148" s="774"/>
      <c r="AJ148" s="774"/>
      <c r="AK148" s="774"/>
      <c r="AL148" s="774"/>
      <c r="AM148" s="774"/>
      <c r="AN148" s="774"/>
      <c r="AO148" s="731"/>
    </row>
    <row r="149" spans="1:41" s="762" customFormat="1" x14ac:dyDescent="0.25">
      <c r="A149" s="761"/>
      <c r="B149" s="731"/>
      <c r="C149" s="731"/>
      <c r="D149" s="731"/>
      <c r="E149" s="731"/>
      <c r="F149" s="731"/>
      <c r="G149" s="731"/>
      <c r="H149" s="731"/>
      <c r="I149" s="731"/>
      <c r="J149" s="734"/>
      <c r="K149" s="731"/>
      <c r="L149" s="731"/>
      <c r="M149" s="731"/>
      <c r="N149" s="731"/>
      <c r="O149" s="731"/>
      <c r="P149" s="731"/>
      <c r="Q149" s="735"/>
      <c r="R149" s="731"/>
      <c r="S149" s="731"/>
      <c r="T149" s="731"/>
      <c r="U149" s="731"/>
      <c r="V149" s="731"/>
      <c r="W149" s="731"/>
      <c r="X149" s="731"/>
      <c r="Y149" s="731"/>
      <c r="Z149" s="731"/>
      <c r="AA149" s="731"/>
      <c r="AB149" s="731"/>
      <c r="AC149" s="731"/>
      <c r="AD149" s="731"/>
      <c r="AE149" s="731"/>
      <c r="AF149" s="731"/>
      <c r="AG149" s="731"/>
      <c r="AH149" s="731"/>
      <c r="AI149" s="731"/>
      <c r="AJ149" s="731"/>
      <c r="AK149" s="731"/>
      <c r="AL149" s="731"/>
      <c r="AM149" s="731"/>
      <c r="AN149" s="731"/>
      <c r="AO149" s="731"/>
    </row>
    <row r="150" spans="1:41" x14ac:dyDescent="0.25">
      <c r="A150" s="750"/>
      <c r="B150" s="751" t="s">
        <v>576</v>
      </c>
      <c r="C150" s="752"/>
      <c r="D150" s="752"/>
      <c r="E150" s="752"/>
      <c r="F150" s="752"/>
      <c r="G150" s="752"/>
      <c r="H150" s="752"/>
      <c r="I150" s="752"/>
    </row>
    <row r="151" spans="1:41" x14ac:dyDescent="0.25">
      <c r="E151" s="770"/>
      <c r="F151" s="770"/>
      <c r="G151" s="770"/>
      <c r="H151" s="770"/>
      <c r="I151" s="770"/>
      <c r="J151" s="771"/>
      <c r="K151" s="770"/>
      <c r="L151" s="770"/>
      <c r="M151" s="770"/>
      <c r="N151" s="770"/>
      <c r="O151" s="770"/>
      <c r="P151" s="770"/>
      <c r="Q151" s="772"/>
      <c r="R151" s="770"/>
      <c r="S151" s="770"/>
      <c r="T151" s="770"/>
      <c r="U151" s="770"/>
      <c r="V151" s="770"/>
      <c r="W151" s="770"/>
      <c r="X151" s="770"/>
      <c r="Y151" s="770"/>
      <c r="Z151" s="770"/>
      <c r="AA151" s="770"/>
      <c r="AB151" s="770"/>
      <c r="AC151" s="770"/>
      <c r="AD151" s="770"/>
      <c r="AE151" s="770"/>
      <c r="AF151" s="770"/>
      <c r="AG151" s="770"/>
      <c r="AH151" s="770"/>
      <c r="AI151" s="770"/>
      <c r="AJ151" s="770"/>
      <c r="AK151" s="770"/>
      <c r="AL151" s="770"/>
      <c r="AM151" s="770"/>
      <c r="AN151" s="770"/>
    </row>
    <row r="152" spans="1:41" s="762" customFormat="1" x14ac:dyDescent="0.25">
      <c r="A152" s="773"/>
      <c r="E152" s="802" t="str">
        <f>'ORT uitgangspunten'!E59</f>
        <v>Variabele component ZLT-warmte</v>
      </c>
      <c r="F152" s="755">
        <f>'ORT uitgangspunten'!G59</f>
        <v>0</v>
      </c>
      <c r="G152" s="757" t="str">
        <f>'ORT uitgangspunten'!H59</f>
        <v>[€/GJ]</v>
      </c>
      <c r="I152" s="803"/>
      <c r="J152" s="804">
        <f t="shared" ref="J152:AN152" si="26">J8 * (J170+J175+J180+J185) * $F$152</f>
        <v>0</v>
      </c>
      <c r="K152" s="803">
        <f t="shared" si="26"/>
        <v>0</v>
      </c>
      <c r="L152" s="803">
        <f t="shared" si="26"/>
        <v>0</v>
      </c>
      <c r="M152" s="803">
        <f t="shared" si="26"/>
        <v>0</v>
      </c>
      <c r="N152" s="803">
        <f t="shared" si="26"/>
        <v>0</v>
      </c>
      <c r="O152" s="803">
        <f t="shared" si="26"/>
        <v>0</v>
      </c>
      <c r="P152" s="803">
        <f t="shared" si="26"/>
        <v>0</v>
      </c>
      <c r="Q152" s="805">
        <f>Q8 * (Q170+Q175+Q180+Q185) * $F$152</f>
        <v>0</v>
      </c>
      <c r="R152" s="803">
        <f t="shared" si="26"/>
        <v>0</v>
      </c>
      <c r="S152" s="803">
        <f t="shared" si="26"/>
        <v>0</v>
      </c>
      <c r="T152" s="803">
        <f t="shared" si="26"/>
        <v>0</v>
      </c>
      <c r="U152" s="803">
        <f t="shared" si="26"/>
        <v>0</v>
      </c>
      <c r="V152" s="803">
        <f t="shared" si="26"/>
        <v>0</v>
      </c>
      <c r="W152" s="803">
        <f t="shared" si="26"/>
        <v>0</v>
      </c>
      <c r="X152" s="803">
        <f t="shared" si="26"/>
        <v>0</v>
      </c>
      <c r="Y152" s="803">
        <f t="shared" si="26"/>
        <v>0</v>
      </c>
      <c r="Z152" s="803">
        <f t="shared" si="26"/>
        <v>0</v>
      </c>
      <c r="AA152" s="803">
        <f t="shared" si="26"/>
        <v>0</v>
      </c>
      <c r="AB152" s="803">
        <f t="shared" si="26"/>
        <v>0</v>
      </c>
      <c r="AC152" s="803">
        <f t="shared" si="26"/>
        <v>0</v>
      </c>
      <c r="AD152" s="803">
        <f t="shared" si="26"/>
        <v>0</v>
      </c>
      <c r="AE152" s="803">
        <f t="shared" si="26"/>
        <v>0</v>
      </c>
      <c r="AF152" s="803">
        <f t="shared" si="26"/>
        <v>0</v>
      </c>
      <c r="AG152" s="803">
        <f t="shared" si="26"/>
        <v>0</v>
      </c>
      <c r="AH152" s="803">
        <f t="shared" si="26"/>
        <v>0</v>
      </c>
      <c r="AI152" s="803">
        <f t="shared" si="26"/>
        <v>0</v>
      </c>
      <c r="AJ152" s="803">
        <f t="shared" si="26"/>
        <v>0</v>
      </c>
      <c r="AK152" s="803">
        <f t="shared" si="26"/>
        <v>0</v>
      </c>
      <c r="AL152" s="803">
        <f t="shared" si="26"/>
        <v>0</v>
      </c>
      <c r="AM152" s="803">
        <f t="shared" si="26"/>
        <v>0</v>
      </c>
      <c r="AN152" s="803">
        <f t="shared" si="26"/>
        <v>0</v>
      </c>
      <c r="AO152" s="731"/>
    </row>
    <row r="153" spans="1:41" s="762" customFormat="1" x14ac:dyDescent="0.25">
      <c r="A153" s="773"/>
      <c r="E153" s="802"/>
      <c r="F153" s="802"/>
      <c r="G153" s="802"/>
      <c r="I153" s="803"/>
      <c r="J153" s="804"/>
      <c r="K153" s="803"/>
      <c r="L153" s="803"/>
      <c r="M153" s="803"/>
      <c r="N153" s="803"/>
      <c r="O153" s="803"/>
      <c r="P153" s="803"/>
      <c r="Q153" s="805"/>
      <c r="R153" s="803"/>
      <c r="S153" s="803"/>
      <c r="T153" s="803"/>
      <c r="U153" s="803"/>
      <c r="V153" s="803"/>
      <c r="W153" s="803"/>
      <c r="X153" s="803"/>
      <c r="Y153" s="803"/>
      <c r="Z153" s="803"/>
      <c r="AA153" s="803"/>
      <c r="AB153" s="803"/>
      <c r="AC153" s="803"/>
      <c r="AD153" s="803"/>
      <c r="AE153" s="803"/>
      <c r="AF153" s="803"/>
      <c r="AG153" s="803"/>
      <c r="AH153" s="803"/>
      <c r="AI153" s="803"/>
      <c r="AJ153" s="803"/>
      <c r="AK153" s="803"/>
      <c r="AL153" s="803"/>
      <c r="AM153" s="803"/>
      <c r="AN153" s="803"/>
      <c r="AO153" s="731"/>
    </row>
    <row r="154" spans="1:41" s="762" customFormat="1" x14ac:dyDescent="0.25">
      <c r="A154" s="750"/>
      <c r="B154" s="751" t="s">
        <v>577</v>
      </c>
      <c r="C154" s="752"/>
      <c r="D154" s="752"/>
      <c r="E154" s="752"/>
      <c r="F154" s="752"/>
      <c r="G154" s="752"/>
      <c r="H154" s="752"/>
      <c r="I154" s="752"/>
      <c r="J154" s="734"/>
      <c r="K154" s="731"/>
      <c r="L154" s="731"/>
      <c r="M154" s="731"/>
      <c r="N154" s="731"/>
      <c r="O154" s="731"/>
      <c r="P154" s="731"/>
      <c r="Q154" s="735"/>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row>
    <row r="155" spans="1:41" s="762" customFormat="1" x14ac:dyDescent="0.25">
      <c r="A155" s="761"/>
      <c r="B155" s="731"/>
      <c r="C155" s="731"/>
      <c r="D155" s="731"/>
      <c r="E155" s="770"/>
      <c r="F155" s="770"/>
      <c r="G155" s="770"/>
      <c r="H155" s="770"/>
      <c r="I155" s="770"/>
      <c r="J155" s="771"/>
      <c r="K155" s="770"/>
      <c r="L155" s="770"/>
      <c r="M155" s="770"/>
      <c r="N155" s="770"/>
      <c r="O155" s="770"/>
      <c r="P155" s="770"/>
      <c r="Q155" s="772"/>
      <c r="R155" s="770"/>
      <c r="S155" s="770"/>
      <c r="T155" s="770"/>
      <c r="U155" s="770"/>
      <c r="V155" s="770"/>
      <c r="W155" s="770"/>
      <c r="X155" s="770"/>
      <c r="Y155" s="770"/>
      <c r="Z155" s="770"/>
      <c r="AA155" s="770"/>
      <c r="AB155" s="770"/>
      <c r="AC155" s="770"/>
      <c r="AD155" s="770"/>
      <c r="AE155" s="770"/>
      <c r="AF155" s="770"/>
      <c r="AG155" s="770"/>
      <c r="AH155" s="770"/>
      <c r="AI155" s="770"/>
      <c r="AJ155" s="770"/>
      <c r="AK155" s="770"/>
      <c r="AL155" s="770"/>
      <c r="AM155" s="770"/>
      <c r="AN155" s="770"/>
      <c r="AO155" s="731"/>
    </row>
    <row r="156" spans="1:41" s="762" customFormat="1" x14ac:dyDescent="0.25">
      <c r="A156" s="761"/>
      <c r="B156" s="731"/>
      <c r="C156" s="731"/>
      <c r="D156" s="731"/>
      <c r="E156" s="770"/>
      <c r="F156" s="770"/>
      <c r="G156" s="770"/>
      <c r="H156" s="770"/>
      <c r="I156" s="770"/>
      <c r="J156" s="771"/>
      <c r="K156" s="770"/>
      <c r="L156" s="770"/>
      <c r="M156" s="770"/>
      <c r="N156" s="770"/>
      <c r="O156" s="770"/>
      <c r="P156" s="770"/>
      <c r="Q156" s="772"/>
      <c r="R156" s="770"/>
      <c r="S156" s="770"/>
      <c r="T156" s="770"/>
      <c r="U156" s="770"/>
      <c r="V156" s="770"/>
      <c r="W156" s="770"/>
      <c r="X156" s="770"/>
      <c r="Y156" s="770"/>
      <c r="Z156" s="770"/>
      <c r="AA156" s="770"/>
      <c r="AB156" s="770"/>
      <c r="AC156" s="770"/>
      <c r="AD156" s="770"/>
      <c r="AE156" s="770"/>
      <c r="AF156" s="770"/>
      <c r="AG156" s="770"/>
      <c r="AH156" s="770"/>
      <c r="AI156" s="770"/>
      <c r="AJ156" s="770"/>
      <c r="AK156" s="770"/>
      <c r="AL156" s="770"/>
      <c r="AM156" s="770"/>
      <c r="AN156" s="770"/>
      <c r="AO156" s="731"/>
    </row>
    <row r="157" spans="1:41" s="762" customFormat="1" x14ac:dyDescent="0.25">
      <c r="A157" s="773"/>
      <c r="E157" s="778" t="str">
        <f>'ORT uitgangspunten'!E33</f>
        <v>Aansluitbijdrage individuele kleinverbruikers</v>
      </c>
      <c r="F157" s="763">
        <f>'ORT uitgangspunten'!G33</f>
        <v>0</v>
      </c>
      <c r="G157" s="763" t="str">
        <f>'ORT uitgangspunten'!H33</f>
        <v>[€/#]</v>
      </c>
      <c r="I157" s="778"/>
      <c r="J157" s="771">
        <f>(J68 + J75 + J82 + J89) * $F$157</f>
        <v>0</v>
      </c>
      <c r="K157" s="770">
        <f t="shared" ref="K157:AN157" si="27">(K68 + K75 + K82) * $F$157</f>
        <v>0</v>
      </c>
      <c r="L157" s="770">
        <f t="shared" si="27"/>
        <v>0</v>
      </c>
      <c r="M157" s="770">
        <f t="shared" si="27"/>
        <v>0</v>
      </c>
      <c r="N157" s="770">
        <f t="shared" si="27"/>
        <v>0</v>
      </c>
      <c r="O157" s="770">
        <f t="shared" si="27"/>
        <v>0</v>
      </c>
      <c r="P157" s="770">
        <f t="shared" si="27"/>
        <v>0</v>
      </c>
      <c r="Q157" s="772">
        <f t="shared" si="27"/>
        <v>0</v>
      </c>
      <c r="R157" s="770">
        <f t="shared" si="27"/>
        <v>0</v>
      </c>
      <c r="S157" s="770">
        <f t="shared" si="27"/>
        <v>0</v>
      </c>
      <c r="T157" s="770">
        <f t="shared" si="27"/>
        <v>0</v>
      </c>
      <c r="U157" s="770">
        <f t="shared" si="27"/>
        <v>0</v>
      </c>
      <c r="V157" s="770">
        <f t="shared" si="27"/>
        <v>0</v>
      </c>
      <c r="W157" s="770">
        <f t="shared" si="27"/>
        <v>0</v>
      </c>
      <c r="X157" s="770">
        <f t="shared" si="27"/>
        <v>0</v>
      </c>
      <c r="Y157" s="770">
        <f t="shared" si="27"/>
        <v>0</v>
      </c>
      <c r="Z157" s="770">
        <f t="shared" si="27"/>
        <v>0</v>
      </c>
      <c r="AA157" s="770">
        <f t="shared" si="27"/>
        <v>0</v>
      </c>
      <c r="AB157" s="770">
        <f t="shared" si="27"/>
        <v>0</v>
      </c>
      <c r="AC157" s="770">
        <f t="shared" si="27"/>
        <v>0</v>
      </c>
      <c r="AD157" s="770">
        <f t="shared" si="27"/>
        <v>0</v>
      </c>
      <c r="AE157" s="770">
        <f t="shared" si="27"/>
        <v>0</v>
      </c>
      <c r="AF157" s="770">
        <f t="shared" si="27"/>
        <v>0</v>
      </c>
      <c r="AG157" s="770">
        <f t="shared" si="27"/>
        <v>0</v>
      </c>
      <c r="AH157" s="770">
        <f t="shared" si="27"/>
        <v>0</v>
      </c>
      <c r="AI157" s="770">
        <f t="shared" si="27"/>
        <v>0</v>
      </c>
      <c r="AJ157" s="770">
        <f t="shared" si="27"/>
        <v>0</v>
      </c>
      <c r="AK157" s="770">
        <f t="shared" si="27"/>
        <v>0</v>
      </c>
      <c r="AL157" s="770">
        <f t="shared" si="27"/>
        <v>0</v>
      </c>
      <c r="AM157" s="770">
        <f t="shared" si="27"/>
        <v>0</v>
      </c>
      <c r="AN157" s="770">
        <f t="shared" si="27"/>
        <v>0</v>
      </c>
      <c r="AO157" s="731"/>
    </row>
    <row r="158" spans="1:41" s="1037" customFormat="1" x14ac:dyDescent="0.25">
      <c r="A158" s="1036"/>
      <c r="E158" s="1037" t="s">
        <v>578</v>
      </c>
      <c r="F158" s="1037">
        <f>F157</f>
        <v>0</v>
      </c>
      <c r="G158" s="1037" t="s">
        <v>428</v>
      </c>
      <c r="J158" s="1052">
        <f t="shared" ref="J158:AN158" si="28">J89*$F$157</f>
        <v>0</v>
      </c>
      <c r="K158" s="1039">
        <f t="shared" si="28"/>
        <v>0</v>
      </c>
      <c r="L158" s="1039">
        <f t="shared" si="28"/>
        <v>0</v>
      </c>
      <c r="M158" s="1039">
        <f t="shared" si="28"/>
        <v>0</v>
      </c>
      <c r="N158" s="1039">
        <f t="shared" si="28"/>
        <v>0</v>
      </c>
      <c r="O158" s="1039">
        <f>O89*$F$157</f>
        <v>0</v>
      </c>
      <c r="P158" s="1039">
        <f t="shared" si="28"/>
        <v>0</v>
      </c>
      <c r="Q158" s="1053">
        <f t="shared" si="28"/>
        <v>0</v>
      </c>
      <c r="R158" s="1039">
        <f t="shared" si="28"/>
        <v>0</v>
      </c>
      <c r="S158" s="1039">
        <f t="shared" si="28"/>
        <v>0</v>
      </c>
      <c r="T158" s="1039">
        <f t="shared" si="28"/>
        <v>0</v>
      </c>
      <c r="U158" s="1039">
        <f t="shared" si="28"/>
        <v>0</v>
      </c>
      <c r="V158" s="1039">
        <f t="shared" si="28"/>
        <v>0</v>
      </c>
      <c r="W158" s="1039">
        <f t="shared" si="28"/>
        <v>0</v>
      </c>
      <c r="X158" s="1039">
        <f t="shared" si="28"/>
        <v>0</v>
      </c>
      <c r="Y158" s="1039">
        <f t="shared" si="28"/>
        <v>0</v>
      </c>
      <c r="Z158" s="1039">
        <f t="shared" si="28"/>
        <v>0</v>
      </c>
      <c r="AA158" s="1039">
        <f t="shared" si="28"/>
        <v>0</v>
      </c>
      <c r="AB158" s="1039">
        <f t="shared" si="28"/>
        <v>0</v>
      </c>
      <c r="AC158" s="1039">
        <f t="shared" si="28"/>
        <v>0</v>
      </c>
      <c r="AD158" s="1039">
        <f t="shared" si="28"/>
        <v>0</v>
      </c>
      <c r="AE158" s="1039">
        <f t="shared" si="28"/>
        <v>0</v>
      </c>
      <c r="AF158" s="1039">
        <f t="shared" si="28"/>
        <v>0</v>
      </c>
      <c r="AG158" s="1039">
        <f t="shared" si="28"/>
        <v>0</v>
      </c>
      <c r="AH158" s="1039">
        <f t="shared" si="28"/>
        <v>0</v>
      </c>
      <c r="AI158" s="1039">
        <f t="shared" si="28"/>
        <v>0</v>
      </c>
      <c r="AJ158" s="1039">
        <f t="shared" si="28"/>
        <v>0</v>
      </c>
      <c r="AK158" s="1039">
        <f t="shared" si="28"/>
        <v>0</v>
      </c>
      <c r="AL158" s="1039">
        <f t="shared" si="28"/>
        <v>0</v>
      </c>
      <c r="AM158" s="1039">
        <f t="shared" si="28"/>
        <v>0</v>
      </c>
      <c r="AN158" s="1039">
        <f t="shared" si="28"/>
        <v>0</v>
      </c>
      <c r="AO158" s="1039"/>
    </row>
    <row r="159" spans="1:41" s="795" customFormat="1" x14ac:dyDescent="0.25">
      <c r="A159" s="806"/>
      <c r="E159" s="795" t="s">
        <v>579</v>
      </c>
      <c r="J159" s="800">
        <f>J157+J158</f>
        <v>0</v>
      </c>
      <c r="K159" s="799">
        <f t="shared" ref="K159:AN159" si="29">K157+K158</f>
        <v>0</v>
      </c>
      <c r="L159" s="799">
        <f t="shared" si="29"/>
        <v>0</v>
      </c>
      <c r="M159" s="799">
        <f t="shared" si="29"/>
        <v>0</v>
      </c>
      <c r="N159" s="799">
        <f t="shared" si="29"/>
        <v>0</v>
      </c>
      <c r="O159" s="799">
        <f t="shared" si="29"/>
        <v>0</v>
      </c>
      <c r="P159" s="799">
        <f t="shared" si="29"/>
        <v>0</v>
      </c>
      <c r="Q159" s="801">
        <f t="shared" si="29"/>
        <v>0</v>
      </c>
      <c r="R159" s="799">
        <f t="shared" si="29"/>
        <v>0</v>
      </c>
      <c r="S159" s="799">
        <f t="shared" si="29"/>
        <v>0</v>
      </c>
      <c r="T159" s="799">
        <f t="shared" si="29"/>
        <v>0</v>
      </c>
      <c r="U159" s="799">
        <f t="shared" si="29"/>
        <v>0</v>
      </c>
      <c r="V159" s="799">
        <f t="shared" si="29"/>
        <v>0</v>
      </c>
      <c r="W159" s="799">
        <f t="shared" si="29"/>
        <v>0</v>
      </c>
      <c r="X159" s="799">
        <f t="shared" si="29"/>
        <v>0</v>
      </c>
      <c r="Y159" s="799">
        <f t="shared" si="29"/>
        <v>0</v>
      </c>
      <c r="Z159" s="799">
        <f t="shared" si="29"/>
        <v>0</v>
      </c>
      <c r="AA159" s="799">
        <f t="shared" si="29"/>
        <v>0</v>
      </c>
      <c r="AB159" s="799">
        <f t="shared" si="29"/>
        <v>0</v>
      </c>
      <c r="AC159" s="799">
        <f t="shared" si="29"/>
        <v>0</v>
      </c>
      <c r="AD159" s="799">
        <f t="shared" si="29"/>
        <v>0</v>
      </c>
      <c r="AE159" s="799">
        <f t="shared" si="29"/>
        <v>0</v>
      </c>
      <c r="AF159" s="799">
        <f t="shared" si="29"/>
        <v>0</v>
      </c>
      <c r="AG159" s="799">
        <f t="shared" si="29"/>
        <v>0</v>
      </c>
      <c r="AH159" s="799">
        <f t="shared" si="29"/>
        <v>0</v>
      </c>
      <c r="AI159" s="799">
        <f t="shared" si="29"/>
        <v>0</v>
      </c>
      <c r="AJ159" s="799">
        <f t="shared" si="29"/>
        <v>0</v>
      </c>
      <c r="AK159" s="799">
        <f t="shared" si="29"/>
        <v>0</v>
      </c>
      <c r="AL159" s="799">
        <f t="shared" si="29"/>
        <v>0</v>
      </c>
      <c r="AM159" s="799">
        <f t="shared" si="29"/>
        <v>0</v>
      </c>
      <c r="AN159" s="799">
        <f t="shared" si="29"/>
        <v>0</v>
      </c>
      <c r="AO159" s="799"/>
    </row>
    <row r="160" spans="1:41" s="762" customFormat="1" x14ac:dyDescent="0.25">
      <c r="A160" s="773"/>
      <c r="E160" s="778"/>
      <c r="F160" s="778"/>
      <c r="G160" s="778"/>
      <c r="H160" s="778"/>
      <c r="I160" s="778"/>
      <c r="J160" s="771"/>
      <c r="K160" s="770"/>
      <c r="L160" s="770"/>
      <c r="M160" s="770"/>
      <c r="N160" s="770"/>
      <c r="O160" s="770"/>
      <c r="P160" s="770"/>
      <c r="Q160" s="772"/>
      <c r="R160" s="770"/>
      <c r="S160" s="770"/>
      <c r="T160" s="770"/>
      <c r="U160" s="770"/>
      <c r="V160" s="770"/>
      <c r="W160" s="770"/>
      <c r="X160" s="770"/>
      <c r="Y160" s="770"/>
      <c r="Z160" s="770"/>
      <c r="AA160" s="770"/>
      <c r="AB160" s="770"/>
      <c r="AC160" s="770"/>
      <c r="AD160" s="770"/>
      <c r="AE160" s="770"/>
      <c r="AF160" s="770"/>
      <c r="AG160" s="770"/>
      <c r="AH160" s="770"/>
      <c r="AI160" s="770"/>
      <c r="AJ160" s="770"/>
      <c r="AK160" s="770"/>
      <c r="AL160" s="770"/>
      <c r="AM160" s="770"/>
      <c r="AN160" s="770"/>
      <c r="AO160" s="731"/>
    </row>
    <row r="161" spans="1:41" s="762" customFormat="1" x14ac:dyDescent="0.25">
      <c r="A161" s="750"/>
      <c r="B161" s="751" t="s">
        <v>580</v>
      </c>
      <c r="C161" s="752"/>
      <c r="D161" s="752"/>
      <c r="E161" s="752"/>
      <c r="F161" s="752"/>
      <c r="G161" s="752"/>
      <c r="H161" s="752"/>
      <c r="I161" s="752"/>
      <c r="J161" s="734"/>
      <c r="K161" s="731"/>
      <c r="L161" s="731"/>
      <c r="M161" s="731"/>
      <c r="N161" s="731"/>
      <c r="O161" s="731"/>
      <c r="P161" s="731"/>
      <c r="Q161" s="735"/>
      <c r="R161" s="731"/>
      <c r="S161" s="731"/>
      <c r="T161" s="731"/>
      <c r="U161" s="731"/>
      <c r="V161" s="731"/>
      <c r="W161" s="731"/>
      <c r="X161" s="731"/>
      <c r="Y161" s="731"/>
      <c r="Z161" s="731"/>
      <c r="AA161" s="731"/>
      <c r="AB161" s="731"/>
      <c r="AC161" s="731"/>
      <c r="AD161" s="731"/>
      <c r="AE161" s="731"/>
      <c r="AF161" s="731"/>
      <c r="AG161" s="731"/>
      <c r="AH161" s="731"/>
      <c r="AI161" s="731"/>
      <c r="AJ161" s="731"/>
      <c r="AK161" s="731"/>
      <c r="AL161" s="731"/>
      <c r="AM161" s="731"/>
      <c r="AN161" s="731"/>
      <c r="AO161" s="731"/>
    </row>
    <row r="162" spans="1:41" s="773" customFormat="1" x14ac:dyDescent="0.25">
      <c r="A162" s="750"/>
      <c r="B162" s="750"/>
      <c r="C162" s="761"/>
      <c r="D162" s="761"/>
      <c r="E162" s="761"/>
      <c r="F162" s="761"/>
      <c r="G162" s="761"/>
      <c r="H162" s="761"/>
      <c r="I162" s="761"/>
      <c r="J162" s="807"/>
      <c r="K162" s="761"/>
      <c r="L162" s="761"/>
      <c r="M162" s="761"/>
      <c r="N162" s="761"/>
      <c r="O162" s="761"/>
      <c r="P162" s="761"/>
      <c r="Q162" s="808"/>
      <c r="R162" s="761"/>
      <c r="S162" s="761"/>
      <c r="T162" s="761"/>
      <c r="U162" s="761"/>
      <c r="V162" s="761"/>
      <c r="W162" s="761"/>
      <c r="X162" s="761"/>
      <c r="Y162" s="761"/>
      <c r="Z162" s="761"/>
      <c r="AA162" s="761"/>
      <c r="AB162" s="761"/>
      <c r="AC162" s="761"/>
      <c r="AD162" s="761"/>
      <c r="AE162" s="761"/>
      <c r="AF162" s="761"/>
      <c r="AG162" s="761"/>
      <c r="AH162" s="761"/>
      <c r="AI162" s="761"/>
      <c r="AJ162" s="761"/>
      <c r="AK162" s="761"/>
      <c r="AL162" s="761"/>
      <c r="AM162" s="761"/>
      <c r="AN162" s="761"/>
      <c r="AO162" s="761"/>
    </row>
    <row r="163" spans="1:41" s="763" customFormat="1" x14ac:dyDescent="0.25">
      <c r="A163" s="787"/>
      <c r="B163" s="774"/>
      <c r="C163" s="774"/>
      <c r="D163" s="774"/>
      <c r="E163" s="774" t="str">
        <f>'ORT uitgangspunten'!E25</f>
        <v>% warmtevraagreductie</v>
      </c>
      <c r="F163" s="758">
        <f>'ORT uitgangspunten'!G25</f>
        <v>3.5000000000000001E-3</v>
      </c>
      <c r="G163" s="774" t="str">
        <f>'ORT uitgangspunten'!H25</f>
        <v>[%/jr]</v>
      </c>
      <c r="I163" s="774"/>
      <c r="J163" s="809">
        <f t="shared" ref="J163:AN163" si="30">$F$163 * (J6-1)</f>
        <v>0</v>
      </c>
      <c r="K163" s="758">
        <f t="shared" si="30"/>
        <v>3.5000000000000001E-3</v>
      </c>
      <c r="L163" s="758">
        <f t="shared" si="30"/>
        <v>7.0000000000000001E-3</v>
      </c>
      <c r="M163" s="758">
        <f t="shared" si="30"/>
        <v>1.0500000000000001E-2</v>
      </c>
      <c r="N163" s="758">
        <f t="shared" si="30"/>
        <v>1.4E-2</v>
      </c>
      <c r="O163" s="758">
        <f t="shared" si="30"/>
        <v>1.7500000000000002E-2</v>
      </c>
      <c r="P163" s="758">
        <f t="shared" si="30"/>
        <v>2.1000000000000001E-2</v>
      </c>
      <c r="Q163" s="810">
        <f t="shared" si="30"/>
        <v>2.4500000000000001E-2</v>
      </c>
      <c r="R163" s="758">
        <f t="shared" si="30"/>
        <v>2.8000000000000001E-2</v>
      </c>
      <c r="S163" s="758">
        <f t="shared" si="30"/>
        <v>3.15E-2</v>
      </c>
      <c r="T163" s="758">
        <f t="shared" si="30"/>
        <v>3.5000000000000003E-2</v>
      </c>
      <c r="U163" s="758">
        <f t="shared" si="30"/>
        <v>3.85E-2</v>
      </c>
      <c r="V163" s="758">
        <f t="shared" si="30"/>
        <v>4.2000000000000003E-2</v>
      </c>
      <c r="W163" s="758">
        <f t="shared" si="30"/>
        <v>4.5499999999999999E-2</v>
      </c>
      <c r="X163" s="758">
        <f t="shared" si="30"/>
        <v>4.9000000000000002E-2</v>
      </c>
      <c r="Y163" s="758">
        <f t="shared" si="30"/>
        <v>5.2499999999999998E-2</v>
      </c>
      <c r="Z163" s="758">
        <f t="shared" si="30"/>
        <v>5.6000000000000001E-2</v>
      </c>
      <c r="AA163" s="758">
        <f t="shared" si="30"/>
        <v>5.9500000000000004E-2</v>
      </c>
      <c r="AB163" s="758">
        <f t="shared" si="30"/>
        <v>6.3E-2</v>
      </c>
      <c r="AC163" s="758">
        <f t="shared" si="30"/>
        <v>6.6500000000000004E-2</v>
      </c>
      <c r="AD163" s="758">
        <f t="shared" si="30"/>
        <v>7.0000000000000007E-2</v>
      </c>
      <c r="AE163" s="758">
        <f t="shared" si="30"/>
        <v>7.3499999999999996E-2</v>
      </c>
      <c r="AF163" s="758">
        <f t="shared" si="30"/>
        <v>7.6999999999999999E-2</v>
      </c>
      <c r="AG163" s="758">
        <f t="shared" si="30"/>
        <v>8.0500000000000002E-2</v>
      </c>
      <c r="AH163" s="758">
        <f t="shared" si="30"/>
        <v>8.4000000000000005E-2</v>
      </c>
      <c r="AI163" s="758">
        <f t="shared" si="30"/>
        <v>8.7500000000000008E-2</v>
      </c>
      <c r="AJ163" s="758">
        <f t="shared" si="30"/>
        <v>9.0999999999999998E-2</v>
      </c>
      <c r="AK163" s="758">
        <f t="shared" si="30"/>
        <v>9.4500000000000001E-2</v>
      </c>
      <c r="AL163" s="758">
        <f t="shared" si="30"/>
        <v>9.8000000000000004E-2</v>
      </c>
      <c r="AM163" s="758">
        <f t="shared" si="30"/>
        <v>0.10150000000000001</v>
      </c>
      <c r="AN163" s="758">
        <f t="shared" si="30"/>
        <v>0.105</v>
      </c>
    </row>
    <row r="164" spans="1:41" s="763" customFormat="1" x14ac:dyDescent="0.25">
      <c r="A164" s="787"/>
      <c r="B164" s="774"/>
      <c r="C164" s="774"/>
      <c r="D164" s="774"/>
      <c r="E164" s="774" t="str">
        <f>'ORT uitgangspunten'!E41</f>
        <v>Marge inkomsten minus productie kleinverbruik</v>
      </c>
      <c r="F164" s="774">
        <f>'ORT uitgangspunten'!G41</f>
        <v>14</v>
      </c>
      <c r="G164" s="774" t="str">
        <f>'ORT uitgangspunten'!H41</f>
        <v>[€/GJ]</v>
      </c>
      <c r="I164" s="774"/>
      <c r="J164" s="809"/>
      <c r="K164" s="758"/>
      <c r="L164" s="758"/>
      <c r="M164" s="758"/>
      <c r="N164" s="758"/>
      <c r="O164" s="758"/>
      <c r="P164" s="758"/>
      <c r="Q164" s="810"/>
      <c r="R164" s="758"/>
      <c r="S164" s="758"/>
      <c r="T164" s="758"/>
      <c r="U164" s="758"/>
      <c r="V164" s="758"/>
      <c r="W164" s="758"/>
      <c r="X164" s="758"/>
      <c r="Y164" s="758"/>
      <c r="Z164" s="758"/>
      <c r="AA164" s="758"/>
      <c r="AB164" s="758"/>
      <c r="AC164" s="758"/>
      <c r="AD164" s="758"/>
      <c r="AE164" s="758"/>
      <c r="AF164" s="758"/>
      <c r="AG164" s="758"/>
      <c r="AH164" s="758"/>
      <c r="AI164" s="758"/>
      <c r="AJ164" s="758"/>
      <c r="AK164" s="758"/>
      <c r="AL164" s="758"/>
      <c r="AM164" s="758"/>
      <c r="AN164" s="758"/>
    </row>
    <row r="165" spans="1:41" s="762" customFormat="1" x14ac:dyDescent="0.25">
      <c r="A165" s="761"/>
      <c r="B165" s="731"/>
      <c r="C165" s="731"/>
      <c r="D165" s="731"/>
      <c r="E165" s="774" t="str">
        <f>'ORT uitgangspunten'!E35</f>
        <v>Vastrecht</v>
      </c>
      <c r="F165" s="774">
        <f>'ORT uitgangspunten'!G35</f>
        <v>0</v>
      </c>
      <c r="G165" s="774" t="str">
        <f>'ORT uitgangspunten'!H35</f>
        <v>[€/jr]</v>
      </c>
      <c r="H165" s="763"/>
      <c r="I165" s="731"/>
      <c r="J165" s="734"/>
      <c r="K165" s="731"/>
      <c r="L165" s="731"/>
      <c r="M165" s="731"/>
      <c r="N165" s="731"/>
      <c r="O165" s="731"/>
      <c r="P165" s="731"/>
      <c r="Q165" s="735"/>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row>
    <row r="166" spans="1:41" s="762" customFormat="1" x14ac:dyDescent="0.25">
      <c r="A166" s="761"/>
      <c r="B166" s="731"/>
      <c r="C166" s="731"/>
      <c r="D166" s="731"/>
      <c r="E166" s="774" t="str">
        <f>'ORT uitgangspunten'!E39</f>
        <v>Vergoeding afleverstation</v>
      </c>
      <c r="F166" s="774">
        <f>'ORT uitgangspunten'!G39</f>
        <v>120.15</v>
      </c>
      <c r="G166" s="774" t="str">
        <f>'ORT uitgangspunten'!H39</f>
        <v>[€/jr]</v>
      </c>
      <c r="H166" s="763"/>
      <c r="I166" s="731"/>
      <c r="J166" s="734"/>
      <c r="K166" s="731"/>
      <c r="L166" s="731"/>
      <c r="M166" s="731"/>
      <c r="N166" s="731"/>
      <c r="O166" s="731"/>
      <c r="P166" s="731"/>
      <c r="Q166" s="735"/>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row>
    <row r="167" spans="1:41" x14ac:dyDescent="0.25"/>
    <row r="168" spans="1:41" x14ac:dyDescent="0.25">
      <c r="E168" s="774" t="str">
        <f>'ORT aansluitingen'!C55</f>
        <v>Aantal aansluitingen grondgebonden woningen (cumulatief)</v>
      </c>
      <c r="F168" s="774">
        <f>MAX(J168:AN168)</f>
        <v>0</v>
      </c>
      <c r="G168" s="763" t="s">
        <v>510</v>
      </c>
      <c r="J168" s="734">
        <f>'ORT aansluitingen'!U55</f>
        <v>0</v>
      </c>
      <c r="K168" s="731">
        <f>'ORT aansluitingen'!V55</f>
        <v>0</v>
      </c>
      <c r="L168" s="731">
        <f>'ORT aansluitingen'!W55</f>
        <v>0</v>
      </c>
      <c r="M168" s="731">
        <f>'ORT aansluitingen'!X55</f>
        <v>0</v>
      </c>
      <c r="N168" s="731">
        <f>'ORT aansluitingen'!Y55</f>
        <v>0</v>
      </c>
      <c r="O168" s="731">
        <f>'ORT aansluitingen'!Z55</f>
        <v>0</v>
      </c>
      <c r="P168" s="731">
        <f>'ORT aansluitingen'!AA55</f>
        <v>0</v>
      </c>
      <c r="Q168" s="735">
        <f>'ORT aansluitingen'!AB55</f>
        <v>0</v>
      </c>
      <c r="R168" s="731">
        <f>'ORT aansluitingen'!AC55</f>
        <v>0</v>
      </c>
      <c r="S168" s="731">
        <f>'ORT aansluitingen'!AD55</f>
        <v>0</v>
      </c>
      <c r="T168" s="731">
        <f>'ORT aansluitingen'!AE55</f>
        <v>0</v>
      </c>
      <c r="U168" s="731">
        <f>'ORT aansluitingen'!AF55</f>
        <v>0</v>
      </c>
      <c r="V168" s="731">
        <f>'ORT aansluitingen'!AG55</f>
        <v>0</v>
      </c>
      <c r="W168" s="731">
        <f>'ORT aansluitingen'!AH55</f>
        <v>0</v>
      </c>
      <c r="X168" s="731">
        <f>'ORT aansluitingen'!AI55</f>
        <v>0</v>
      </c>
      <c r="Y168" s="731">
        <f>'ORT aansluitingen'!AJ55</f>
        <v>0</v>
      </c>
      <c r="Z168" s="731">
        <f>'ORT aansluitingen'!AK55</f>
        <v>0</v>
      </c>
      <c r="AA168" s="731">
        <f>'ORT aansluitingen'!AL55</f>
        <v>0</v>
      </c>
      <c r="AB168" s="731">
        <f>'ORT aansluitingen'!AM55</f>
        <v>0</v>
      </c>
      <c r="AC168" s="731">
        <f>'ORT aansluitingen'!AN55</f>
        <v>0</v>
      </c>
      <c r="AD168" s="731">
        <f>'ORT aansluitingen'!AO55</f>
        <v>0</v>
      </c>
      <c r="AE168" s="731">
        <f>'ORT aansluitingen'!AP55</f>
        <v>0</v>
      </c>
      <c r="AF168" s="731">
        <f>'ORT aansluitingen'!AQ55</f>
        <v>0</v>
      </c>
      <c r="AG168" s="731">
        <f>'ORT aansluitingen'!AR55</f>
        <v>0</v>
      </c>
      <c r="AH168" s="731">
        <f>'ORT aansluitingen'!AS55</f>
        <v>0</v>
      </c>
      <c r="AI168" s="731">
        <f>'ORT aansluitingen'!AT55</f>
        <v>0</v>
      </c>
      <c r="AJ168" s="731">
        <f>'ORT aansluitingen'!AU55</f>
        <v>0</v>
      </c>
      <c r="AK168" s="731">
        <f>'ORT aansluitingen'!AV55</f>
        <v>0</v>
      </c>
      <c r="AL168" s="731">
        <f>'ORT aansluitingen'!AW55</f>
        <v>0</v>
      </c>
      <c r="AM168" s="731">
        <f>'ORT aansluitingen'!AX55</f>
        <v>0</v>
      </c>
      <c r="AN168" s="731">
        <f>'ORT aansluitingen'!AY55</f>
        <v>0</v>
      </c>
    </row>
    <row r="169" spans="1:41" s="762" customFormat="1" x14ac:dyDescent="0.25">
      <c r="A169" s="761"/>
      <c r="B169" s="731"/>
      <c r="C169" s="731"/>
      <c r="D169" s="731"/>
      <c r="E169" s="770" t="s">
        <v>581</v>
      </c>
      <c r="F169" s="770">
        <f>SUM(J169:AN169)</f>
        <v>0</v>
      </c>
      <c r="G169" s="763" t="s">
        <v>534</v>
      </c>
      <c r="H169" s="770"/>
      <c r="I169" s="770"/>
      <c r="J169" s="771">
        <f t="shared" ref="J169:AN169" si="31">J$8 * I168 * ($F$165 + $F$166)</f>
        <v>0</v>
      </c>
      <c r="K169" s="770">
        <f t="shared" si="31"/>
        <v>0</v>
      </c>
      <c r="L169" s="770">
        <f t="shared" si="31"/>
        <v>0</v>
      </c>
      <c r="M169" s="770">
        <f t="shared" si="31"/>
        <v>0</v>
      </c>
      <c r="N169" s="770">
        <f t="shared" si="31"/>
        <v>0</v>
      </c>
      <c r="O169" s="770">
        <f t="shared" si="31"/>
        <v>0</v>
      </c>
      <c r="P169" s="770">
        <f t="shared" si="31"/>
        <v>0</v>
      </c>
      <c r="Q169" s="772">
        <f t="shared" si="31"/>
        <v>0</v>
      </c>
      <c r="R169" s="770">
        <f t="shared" si="31"/>
        <v>0</v>
      </c>
      <c r="S169" s="770">
        <f t="shared" si="31"/>
        <v>0</v>
      </c>
      <c r="T169" s="770">
        <f t="shared" si="31"/>
        <v>0</v>
      </c>
      <c r="U169" s="770">
        <f t="shared" si="31"/>
        <v>0</v>
      </c>
      <c r="V169" s="770">
        <f t="shared" si="31"/>
        <v>0</v>
      </c>
      <c r="W169" s="770">
        <f t="shared" si="31"/>
        <v>0</v>
      </c>
      <c r="X169" s="770">
        <f t="shared" si="31"/>
        <v>0</v>
      </c>
      <c r="Y169" s="770">
        <f t="shared" si="31"/>
        <v>0</v>
      </c>
      <c r="Z169" s="770">
        <f t="shared" si="31"/>
        <v>0</v>
      </c>
      <c r="AA169" s="770">
        <f t="shared" si="31"/>
        <v>0</v>
      </c>
      <c r="AB169" s="770">
        <f t="shared" si="31"/>
        <v>0</v>
      </c>
      <c r="AC169" s="770">
        <f t="shared" si="31"/>
        <v>0</v>
      </c>
      <c r="AD169" s="770">
        <f t="shared" si="31"/>
        <v>0</v>
      </c>
      <c r="AE169" s="770">
        <f t="shared" si="31"/>
        <v>0</v>
      </c>
      <c r="AF169" s="770">
        <f t="shared" si="31"/>
        <v>0</v>
      </c>
      <c r="AG169" s="770">
        <f t="shared" si="31"/>
        <v>0</v>
      </c>
      <c r="AH169" s="770">
        <f t="shared" si="31"/>
        <v>0</v>
      </c>
      <c r="AI169" s="770">
        <f t="shared" si="31"/>
        <v>0</v>
      </c>
      <c r="AJ169" s="770">
        <f t="shared" si="31"/>
        <v>0</v>
      </c>
      <c r="AK169" s="770">
        <f t="shared" si="31"/>
        <v>0</v>
      </c>
      <c r="AL169" s="770">
        <f t="shared" si="31"/>
        <v>0</v>
      </c>
      <c r="AM169" s="770">
        <f t="shared" si="31"/>
        <v>0</v>
      </c>
      <c r="AN169" s="770">
        <f t="shared" si="31"/>
        <v>0</v>
      </c>
      <c r="AO169" s="731"/>
    </row>
    <row r="170" spans="1:41" s="762" customFormat="1" x14ac:dyDescent="0.25">
      <c r="A170" s="761"/>
      <c r="B170" s="731"/>
      <c r="C170" s="731"/>
      <c r="D170" s="731"/>
      <c r="E170" s="774" t="str">
        <f>'ORT aansluitingen'!C56</f>
        <v>Warmteverbruik grondgebonden woningen</v>
      </c>
      <c r="F170" s="774">
        <f>SUM(J170:AN170)</f>
        <v>0</v>
      </c>
      <c r="G170" s="774" t="s">
        <v>518</v>
      </c>
      <c r="H170" s="731"/>
      <c r="I170" s="731"/>
      <c r="J170" s="734">
        <f>'ORT aansluitingen'!U56 * (1 - 'ORT Berekening'!J163)</f>
        <v>0</v>
      </c>
      <c r="K170" s="731">
        <f>'ORT aansluitingen'!V56 * (1 - 'ORT Berekening'!K163)</f>
        <v>0</v>
      </c>
      <c r="L170" s="731">
        <f>'ORT aansluitingen'!W56 * (1 - 'ORT Berekening'!L163)</f>
        <v>0</v>
      </c>
      <c r="M170" s="731">
        <f>'ORT aansluitingen'!X56 * (1 - 'ORT Berekening'!M163)</f>
        <v>0</v>
      </c>
      <c r="N170" s="731">
        <f>'ORT aansluitingen'!Y56 * (1 - 'ORT Berekening'!N163)</f>
        <v>0</v>
      </c>
      <c r="O170" s="731">
        <f>'ORT aansluitingen'!Z56 * (1 - 'ORT Berekening'!O163)</f>
        <v>0</v>
      </c>
      <c r="P170" s="731">
        <f>'ORT aansluitingen'!AA56 * (1 - 'ORT Berekening'!P163)</f>
        <v>0</v>
      </c>
      <c r="Q170" s="735">
        <f>'ORT aansluitingen'!AB56 * (1 - 'ORT Berekening'!Q163)</f>
        <v>0</v>
      </c>
      <c r="R170" s="731">
        <f>'ORT aansluitingen'!AC56 * (1 - 'ORT Berekening'!R163)</f>
        <v>0</v>
      </c>
      <c r="S170" s="731">
        <f>'ORT aansluitingen'!AD56 * (1 - 'ORT Berekening'!S163)</f>
        <v>0</v>
      </c>
      <c r="T170" s="731">
        <f>'ORT aansluitingen'!AE56 * (1 - 'ORT Berekening'!T163)</f>
        <v>0</v>
      </c>
      <c r="U170" s="731">
        <f>'ORT aansluitingen'!AF56 * (1 - 'ORT Berekening'!U163)</f>
        <v>0</v>
      </c>
      <c r="V170" s="731">
        <f>'ORT aansluitingen'!AG56 * (1 - 'ORT Berekening'!V163)</f>
        <v>0</v>
      </c>
      <c r="W170" s="731">
        <f>'ORT aansluitingen'!AH56 * (1 - 'ORT Berekening'!W163)</f>
        <v>0</v>
      </c>
      <c r="X170" s="731">
        <f>'ORT aansluitingen'!AI56 * (1 - 'ORT Berekening'!X163)</f>
        <v>0</v>
      </c>
      <c r="Y170" s="731">
        <f>'ORT aansluitingen'!AJ56 * (1 - 'ORT Berekening'!Y163)</f>
        <v>0</v>
      </c>
      <c r="Z170" s="731">
        <f>'ORT aansluitingen'!AK56 * (1 - 'ORT Berekening'!Z163)</f>
        <v>0</v>
      </c>
      <c r="AA170" s="731">
        <f>'ORT aansluitingen'!AL56 * (1 - 'ORT Berekening'!AA163)</f>
        <v>0</v>
      </c>
      <c r="AB170" s="731">
        <f>'ORT aansluitingen'!AM56 * (1 - 'ORT Berekening'!AB163)</f>
        <v>0</v>
      </c>
      <c r="AC170" s="731">
        <f>'ORT aansluitingen'!AN56 * (1 - 'ORT Berekening'!AC163)</f>
        <v>0</v>
      </c>
      <c r="AD170" s="731">
        <f>'ORT aansluitingen'!AO56 * (1 - 'ORT Berekening'!AD163)</f>
        <v>0</v>
      </c>
      <c r="AE170" s="731">
        <f>'ORT aansluitingen'!AP56 * (1 - 'ORT Berekening'!AE163)</f>
        <v>0</v>
      </c>
      <c r="AF170" s="731">
        <f>'ORT aansluitingen'!AQ56 * (1 - 'ORT Berekening'!AF163)</f>
        <v>0</v>
      </c>
      <c r="AG170" s="731">
        <f>'ORT aansluitingen'!AR56 * (1 - 'ORT Berekening'!AG163)</f>
        <v>0</v>
      </c>
      <c r="AH170" s="731">
        <f>'ORT aansluitingen'!AS56 * (1 - 'ORT Berekening'!AH163)</f>
        <v>0</v>
      </c>
      <c r="AI170" s="731">
        <f>'ORT aansluitingen'!AT56 * (1 - 'ORT Berekening'!AI163)</f>
        <v>0</v>
      </c>
      <c r="AJ170" s="731">
        <f>'ORT aansluitingen'!AU56 * (1 - 'ORT Berekening'!AJ163)</f>
        <v>0</v>
      </c>
      <c r="AK170" s="731">
        <f>'ORT aansluitingen'!AV56 * (1 - 'ORT Berekening'!AK163)</f>
        <v>0</v>
      </c>
      <c r="AL170" s="731">
        <f>'ORT aansluitingen'!AW56 * (1 - 'ORT Berekening'!AL163)</f>
        <v>0</v>
      </c>
      <c r="AM170" s="731">
        <f>'ORT aansluitingen'!AX56 * (1 - 'ORT Berekening'!AM163)</f>
        <v>0</v>
      </c>
      <c r="AN170" s="731">
        <f>'ORT aansluitingen'!AY56 * (1 - 'ORT Berekening'!AN163)</f>
        <v>0</v>
      </c>
    </row>
    <row r="171" spans="1:41" s="762" customFormat="1" x14ac:dyDescent="0.25">
      <c r="A171" s="773"/>
      <c r="E171" s="778" t="s">
        <v>582</v>
      </c>
      <c r="F171" s="770">
        <f>SUM(J171:AN171)</f>
        <v>0</v>
      </c>
      <c r="G171" s="763" t="s">
        <v>534</v>
      </c>
      <c r="H171" s="770"/>
      <c r="I171" s="770"/>
      <c r="J171" s="771">
        <f t="shared" ref="J171:AN171" si="32">J$8 * J170 * $F$164</f>
        <v>0</v>
      </c>
      <c r="K171" s="770">
        <f t="shared" si="32"/>
        <v>0</v>
      </c>
      <c r="L171" s="770">
        <f t="shared" si="32"/>
        <v>0</v>
      </c>
      <c r="M171" s="770">
        <f t="shared" si="32"/>
        <v>0</v>
      </c>
      <c r="N171" s="770">
        <f t="shared" si="32"/>
        <v>0</v>
      </c>
      <c r="O171" s="770">
        <f t="shared" si="32"/>
        <v>0</v>
      </c>
      <c r="P171" s="770">
        <f t="shared" si="32"/>
        <v>0</v>
      </c>
      <c r="Q171" s="772">
        <f t="shared" si="32"/>
        <v>0</v>
      </c>
      <c r="R171" s="770">
        <f t="shared" si="32"/>
        <v>0</v>
      </c>
      <c r="S171" s="770">
        <f t="shared" si="32"/>
        <v>0</v>
      </c>
      <c r="T171" s="770">
        <f t="shared" si="32"/>
        <v>0</v>
      </c>
      <c r="U171" s="770">
        <f t="shared" si="32"/>
        <v>0</v>
      </c>
      <c r="V171" s="770">
        <f t="shared" si="32"/>
        <v>0</v>
      </c>
      <c r="W171" s="770">
        <f t="shared" si="32"/>
        <v>0</v>
      </c>
      <c r="X171" s="770">
        <f t="shared" si="32"/>
        <v>0</v>
      </c>
      <c r="Y171" s="770">
        <f t="shared" si="32"/>
        <v>0</v>
      </c>
      <c r="Z171" s="770">
        <f t="shared" si="32"/>
        <v>0</v>
      </c>
      <c r="AA171" s="770">
        <f t="shared" si="32"/>
        <v>0</v>
      </c>
      <c r="AB171" s="770">
        <f t="shared" si="32"/>
        <v>0</v>
      </c>
      <c r="AC171" s="770">
        <f t="shared" si="32"/>
        <v>0</v>
      </c>
      <c r="AD171" s="770">
        <f t="shared" si="32"/>
        <v>0</v>
      </c>
      <c r="AE171" s="770">
        <f t="shared" si="32"/>
        <v>0</v>
      </c>
      <c r="AF171" s="770">
        <f t="shared" si="32"/>
        <v>0</v>
      </c>
      <c r="AG171" s="770">
        <f t="shared" si="32"/>
        <v>0</v>
      </c>
      <c r="AH171" s="770">
        <f t="shared" si="32"/>
        <v>0</v>
      </c>
      <c r="AI171" s="770">
        <f t="shared" si="32"/>
        <v>0</v>
      </c>
      <c r="AJ171" s="770">
        <f t="shared" si="32"/>
        <v>0</v>
      </c>
      <c r="AK171" s="770">
        <f t="shared" si="32"/>
        <v>0</v>
      </c>
      <c r="AL171" s="770">
        <f t="shared" si="32"/>
        <v>0</v>
      </c>
      <c r="AM171" s="770">
        <f t="shared" si="32"/>
        <v>0</v>
      </c>
      <c r="AN171" s="770">
        <f t="shared" si="32"/>
        <v>0</v>
      </c>
    </row>
    <row r="172" spans="1:41" s="762" customFormat="1" x14ac:dyDescent="0.25">
      <c r="A172" s="773"/>
      <c r="E172" s="778"/>
      <c r="F172" s="778"/>
      <c r="G172" s="778"/>
      <c r="H172" s="770"/>
      <c r="I172" s="778"/>
      <c r="J172" s="771"/>
      <c r="K172" s="770"/>
      <c r="L172" s="770"/>
      <c r="M172" s="770"/>
      <c r="N172" s="770"/>
      <c r="O172" s="770"/>
      <c r="P172" s="770"/>
      <c r="Q172" s="772"/>
      <c r="R172" s="770"/>
      <c r="S172" s="770"/>
      <c r="T172" s="770"/>
      <c r="U172" s="770"/>
      <c r="V172" s="770"/>
      <c r="W172" s="770"/>
      <c r="X172" s="770"/>
      <c r="Y172" s="770"/>
      <c r="Z172" s="770"/>
      <c r="AA172" s="770"/>
      <c r="AB172" s="770"/>
      <c r="AC172" s="770"/>
      <c r="AD172" s="770"/>
      <c r="AE172" s="770"/>
      <c r="AF172" s="770"/>
      <c r="AG172" s="770"/>
      <c r="AH172" s="770"/>
      <c r="AI172" s="770"/>
      <c r="AJ172" s="770"/>
      <c r="AK172" s="770"/>
      <c r="AL172" s="770"/>
      <c r="AM172" s="770"/>
      <c r="AN172" s="770"/>
    </row>
    <row r="173" spans="1:41" x14ac:dyDescent="0.25">
      <c r="E173" s="774" t="str">
        <f>'ORT aansluitingen'!C59</f>
        <v>Aantal aansluitingen gestapeld (cumulatief)</v>
      </c>
      <c r="F173" s="774">
        <f>MAX(J173:AN173)</f>
        <v>0</v>
      </c>
      <c r="G173" s="763" t="s">
        <v>510</v>
      </c>
      <c r="J173" s="734">
        <f>'ORT aansluitingen'!U59</f>
        <v>0</v>
      </c>
      <c r="K173" s="731">
        <f>'ORT aansluitingen'!V59</f>
        <v>0</v>
      </c>
      <c r="L173" s="731">
        <f>'ORT aansluitingen'!W59</f>
        <v>0</v>
      </c>
      <c r="M173" s="731">
        <f>'ORT aansluitingen'!X59</f>
        <v>0</v>
      </c>
      <c r="N173" s="731">
        <f>'ORT aansluitingen'!Y59</f>
        <v>0</v>
      </c>
      <c r="O173" s="731">
        <f>'ORT aansluitingen'!Z59</f>
        <v>0</v>
      </c>
      <c r="P173" s="731">
        <f>'ORT aansluitingen'!AA59</f>
        <v>0</v>
      </c>
      <c r="Q173" s="735">
        <f>'ORT aansluitingen'!AB59</f>
        <v>0</v>
      </c>
      <c r="R173" s="731">
        <f>'ORT aansluitingen'!AC59</f>
        <v>0</v>
      </c>
      <c r="S173" s="731">
        <f>'ORT aansluitingen'!AD59</f>
        <v>0</v>
      </c>
      <c r="T173" s="731">
        <f>'ORT aansluitingen'!AE59</f>
        <v>0</v>
      </c>
      <c r="U173" s="731">
        <f>'ORT aansluitingen'!AF59</f>
        <v>0</v>
      </c>
      <c r="V173" s="731">
        <f>'ORT aansluitingen'!AG59</f>
        <v>0</v>
      </c>
      <c r="W173" s="731">
        <f>'ORT aansluitingen'!AH59</f>
        <v>0</v>
      </c>
      <c r="X173" s="731">
        <f>'ORT aansluitingen'!AI59</f>
        <v>0</v>
      </c>
      <c r="Y173" s="731">
        <f>'ORT aansluitingen'!AJ59</f>
        <v>0</v>
      </c>
      <c r="Z173" s="731">
        <f>'ORT aansluitingen'!AK59</f>
        <v>0</v>
      </c>
      <c r="AA173" s="731">
        <f>'ORT aansluitingen'!AL59</f>
        <v>0</v>
      </c>
      <c r="AB173" s="731">
        <f>'ORT aansluitingen'!AM59</f>
        <v>0</v>
      </c>
      <c r="AC173" s="731">
        <f>'ORT aansluitingen'!AN59</f>
        <v>0</v>
      </c>
      <c r="AD173" s="731">
        <f>'ORT aansluitingen'!AO59</f>
        <v>0</v>
      </c>
      <c r="AE173" s="731">
        <f>'ORT aansluitingen'!AP59</f>
        <v>0</v>
      </c>
      <c r="AF173" s="731">
        <f>'ORT aansluitingen'!AQ59</f>
        <v>0</v>
      </c>
      <c r="AG173" s="731">
        <f>'ORT aansluitingen'!AR59</f>
        <v>0</v>
      </c>
      <c r="AH173" s="731">
        <f>'ORT aansluitingen'!AS59</f>
        <v>0</v>
      </c>
      <c r="AI173" s="731">
        <f>'ORT aansluitingen'!AT59</f>
        <v>0</v>
      </c>
      <c r="AJ173" s="731">
        <f>'ORT aansluitingen'!AU59</f>
        <v>0</v>
      </c>
      <c r="AK173" s="731">
        <f>'ORT aansluitingen'!AV59</f>
        <v>0</v>
      </c>
      <c r="AL173" s="731">
        <f>'ORT aansluitingen'!AW59</f>
        <v>0</v>
      </c>
      <c r="AM173" s="731">
        <f>'ORT aansluitingen'!AX59</f>
        <v>0</v>
      </c>
      <c r="AN173" s="731">
        <f>'ORT aansluitingen'!AY59</f>
        <v>0</v>
      </c>
    </row>
    <row r="174" spans="1:41" s="762" customFormat="1" x14ac:dyDescent="0.25">
      <c r="A174" s="773"/>
      <c r="E174" s="770" t="s">
        <v>583</v>
      </c>
      <c r="F174" s="770">
        <f>SUM(J174:AN174)</f>
        <v>0</v>
      </c>
      <c r="G174" s="763" t="s">
        <v>534</v>
      </c>
      <c r="H174" s="778"/>
      <c r="I174" s="778"/>
      <c r="J174" s="771">
        <f>J$8 * I173 * ($F$165 + $F$166)</f>
        <v>0</v>
      </c>
      <c r="K174" s="770">
        <f t="shared" ref="K174:AN174" si="33">K8 * J173 * ($F$165 + $F$166)</f>
        <v>0</v>
      </c>
      <c r="L174" s="770">
        <f t="shared" si="33"/>
        <v>0</v>
      </c>
      <c r="M174" s="770">
        <f t="shared" si="33"/>
        <v>0</v>
      </c>
      <c r="N174" s="770">
        <f t="shared" si="33"/>
        <v>0</v>
      </c>
      <c r="O174" s="770">
        <f t="shared" si="33"/>
        <v>0</v>
      </c>
      <c r="P174" s="770">
        <f t="shared" si="33"/>
        <v>0</v>
      </c>
      <c r="Q174" s="772">
        <f t="shared" si="33"/>
        <v>0</v>
      </c>
      <c r="R174" s="770">
        <f t="shared" si="33"/>
        <v>0</v>
      </c>
      <c r="S174" s="770">
        <f t="shared" si="33"/>
        <v>0</v>
      </c>
      <c r="T174" s="770">
        <f t="shared" si="33"/>
        <v>0</v>
      </c>
      <c r="U174" s="770">
        <f t="shared" si="33"/>
        <v>0</v>
      </c>
      <c r="V174" s="770">
        <f t="shared" si="33"/>
        <v>0</v>
      </c>
      <c r="W174" s="770">
        <f t="shared" si="33"/>
        <v>0</v>
      </c>
      <c r="X174" s="770">
        <f t="shared" si="33"/>
        <v>0</v>
      </c>
      <c r="Y174" s="770">
        <f t="shared" si="33"/>
        <v>0</v>
      </c>
      <c r="Z174" s="770">
        <f t="shared" si="33"/>
        <v>0</v>
      </c>
      <c r="AA174" s="770">
        <f t="shared" si="33"/>
        <v>0</v>
      </c>
      <c r="AB174" s="770">
        <f t="shared" si="33"/>
        <v>0</v>
      </c>
      <c r="AC174" s="770">
        <f t="shared" si="33"/>
        <v>0</v>
      </c>
      <c r="AD174" s="770">
        <f t="shared" si="33"/>
        <v>0</v>
      </c>
      <c r="AE174" s="770">
        <f t="shared" si="33"/>
        <v>0</v>
      </c>
      <c r="AF174" s="770">
        <f t="shared" si="33"/>
        <v>0</v>
      </c>
      <c r="AG174" s="770">
        <f t="shared" si="33"/>
        <v>0</v>
      </c>
      <c r="AH174" s="770">
        <f t="shared" si="33"/>
        <v>0</v>
      </c>
      <c r="AI174" s="770">
        <f t="shared" si="33"/>
        <v>0</v>
      </c>
      <c r="AJ174" s="770">
        <f t="shared" si="33"/>
        <v>0</v>
      </c>
      <c r="AK174" s="770">
        <f t="shared" si="33"/>
        <v>0</v>
      </c>
      <c r="AL174" s="770">
        <f t="shared" si="33"/>
        <v>0</v>
      </c>
      <c r="AM174" s="770">
        <f t="shared" si="33"/>
        <v>0</v>
      </c>
      <c r="AN174" s="770">
        <f t="shared" si="33"/>
        <v>0</v>
      </c>
    </row>
    <row r="175" spans="1:41" s="763" customFormat="1" x14ac:dyDescent="0.25">
      <c r="A175" s="779"/>
      <c r="E175" s="763" t="str">
        <f>'ORT aansluitingen'!C60</f>
        <v>Warmteverbruik gestapeld</v>
      </c>
      <c r="F175" s="774">
        <f>SUM(J175:AN175)</f>
        <v>0</v>
      </c>
      <c r="G175" s="763" t="s">
        <v>518</v>
      </c>
      <c r="H175" s="774"/>
      <c r="J175" s="785">
        <f>'ORT aansluitingen'!U60 * (1 - 'ORT Berekening'!J163)</f>
        <v>0</v>
      </c>
      <c r="K175" s="774">
        <f>'ORT aansluitingen'!V60 * (1 - 'ORT Berekening'!K163)</f>
        <v>0</v>
      </c>
      <c r="L175" s="774">
        <f>'ORT aansluitingen'!W60 * (1 - 'ORT Berekening'!L163)</f>
        <v>0</v>
      </c>
      <c r="M175" s="774">
        <f>'ORT aansluitingen'!X60 * (1 - 'ORT Berekening'!M163)</f>
        <v>0</v>
      </c>
      <c r="N175" s="774">
        <f>'ORT aansluitingen'!Y60 * (1 - 'ORT Berekening'!N163)</f>
        <v>0</v>
      </c>
      <c r="O175" s="774">
        <f>'ORT aansluitingen'!Z60 * (1 - 'ORT Berekening'!O163)</f>
        <v>0</v>
      </c>
      <c r="P175" s="774">
        <f>'ORT aansluitingen'!AA60 * (1 - 'ORT Berekening'!P163)</f>
        <v>0</v>
      </c>
      <c r="Q175" s="786">
        <f>'ORT aansluitingen'!AB60 * (1 - 'ORT Berekening'!Q163)</f>
        <v>0</v>
      </c>
      <c r="R175" s="774">
        <f>'ORT aansluitingen'!AC60 * (1 - 'ORT Berekening'!R163)</f>
        <v>0</v>
      </c>
      <c r="S175" s="774">
        <f>'ORT aansluitingen'!AD60 * (1 - 'ORT Berekening'!S163)</f>
        <v>0</v>
      </c>
      <c r="T175" s="774">
        <f>'ORT aansluitingen'!AE60 * (1 - 'ORT Berekening'!T163)</f>
        <v>0</v>
      </c>
      <c r="U175" s="774">
        <f>'ORT aansluitingen'!AF60 * (1 - 'ORT Berekening'!U163)</f>
        <v>0</v>
      </c>
      <c r="V175" s="774">
        <f>'ORT aansluitingen'!AG60 * (1 - 'ORT Berekening'!V163)</f>
        <v>0</v>
      </c>
      <c r="W175" s="774">
        <f>'ORT aansluitingen'!AH60 * (1 - 'ORT Berekening'!W163)</f>
        <v>0</v>
      </c>
      <c r="X175" s="774">
        <f>'ORT aansluitingen'!AI60 * (1 - 'ORT Berekening'!X163)</f>
        <v>0</v>
      </c>
      <c r="Y175" s="774">
        <f>'ORT aansluitingen'!AJ60 * (1 - 'ORT Berekening'!Y163)</f>
        <v>0</v>
      </c>
      <c r="Z175" s="774">
        <f>'ORT aansluitingen'!AK60 * (1 - 'ORT Berekening'!Z163)</f>
        <v>0</v>
      </c>
      <c r="AA175" s="774">
        <f>'ORT aansluitingen'!AL60 * (1 - 'ORT Berekening'!AA163)</f>
        <v>0</v>
      </c>
      <c r="AB175" s="774">
        <f>'ORT aansluitingen'!AM60 * (1 - 'ORT Berekening'!AB163)</f>
        <v>0</v>
      </c>
      <c r="AC175" s="774">
        <f>'ORT aansluitingen'!AN60 * (1 - 'ORT Berekening'!AC163)</f>
        <v>0</v>
      </c>
      <c r="AD175" s="774">
        <f>'ORT aansluitingen'!AO60 * (1 - 'ORT Berekening'!AD163)</f>
        <v>0</v>
      </c>
      <c r="AE175" s="774">
        <f>'ORT aansluitingen'!AP60 * (1 - 'ORT Berekening'!AE163)</f>
        <v>0</v>
      </c>
      <c r="AF175" s="774">
        <f>'ORT aansluitingen'!AQ60 * (1 - 'ORT Berekening'!AF163)</f>
        <v>0</v>
      </c>
      <c r="AG175" s="774">
        <f>'ORT aansluitingen'!AR60 * (1 - 'ORT Berekening'!AG163)</f>
        <v>0</v>
      </c>
      <c r="AH175" s="774">
        <f>'ORT aansluitingen'!AS60 * (1 - 'ORT Berekening'!AH163)</f>
        <v>0</v>
      </c>
      <c r="AI175" s="774">
        <f>'ORT aansluitingen'!AT60 * (1 - 'ORT Berekening'!AI163)</f>
        <v>0</v>
      </c>
      <c r="AJ175" s="774">
        <f>'ORT aansluitingen'!AU60 * (1 - 'ORT Berekening'!AJ163)</f>
        <v>0</v>
      </c>
      <c r="AK175" s="774">
        <f>'ORT aansluitingen'!AV60 * (1 - 'ORT Berekening'!AK163)</f>
        <v>0</v>
      </c>
      <c r="AL175" s="774">
        <f>'ORT aansluitingen'!AW60 * (1 - 'ORT Berekening'!AL163)</f>
        <v>0</v>
      </c>
      <c r="AM175" s="774">
        <f>'ORT aansluitingen'!AX60 * (1 - 'ORT Berekening'!AM163)</f>
        <v>0</v>
      </c>
      <c r="AN175" s="774">
        <f>'ORT aansluitingen'!AY60 * (1 - 'ORT Berekening'!AN163)</f>
        <v>0</v>
      </c>
    </row>
    <row r="176" spans="1:41" s="762" customFormat="1" x14ac:dyDescent="0.25">
      <c r="A176" s="773"/>
      <c r="E176" s="778" t="s">
        <v>584</v>
      </c>
      <c r="F176" s="770">
        <f>SUM(J176:AN176)</f>
        <v>0</v>
      </c>
      <c r="G176" s="763" t="s">
        <v>534</v>
      </c>
      <c r="H176" s="778"/>
      <c r="I176" s="778"/>
      <c r="J176" s="771">
        <f t="shared" ref="J176:AN176" si="34">J$8 * $F$164 * J175</f>
        <v>0</v>
      </c>
      <c r="K176" s="770">
        <f t="shared" si="34"/>
        <v>0</v>
      </c>
      <c r="L176" s="770">
        <f t="shared" si="34"/>
        <v>0</v>
      </c>
      <c r="M176" s="770">
        <f t="shared" si="34"/>
        <v>0</v>
      </c>
      <c r="N176" s="770">
        <f t="shared" si="34"/>
        <v>0</v>
      </c>
      <c r="O176" s="770">
        <f t="shared" si="34"/>
        <v>0</v>
      </c>
      <c r="P176" s="770">
        <f t="shared" si="34"/>
        <v>0</v>
      </c>
      <c r="Q176" s="772">
        <f t="shared" si="34"/>
        <v>0</v>
      </c>
      <c r="R176" s="770">
        <f t="shared" si="34"/>
        <v>0</v>
      </c>
      <c r="S176" s="770">
        <f t="shared" si="34"/>
        <v>0</v>
      </c>
      <c r="T176" s="770">
        <f t="shared" si="34"/>
        <v>0</v>
      </c>
      <c r="U176" s="770">
        <f t="shared" si="34"/>
        <v>0</v>
      </c>
      <c r="V176" s="770">
        <f t="shared" si="34"/>
        <v>0</v>
      </c>
      <c r="W176" s="770">
        <f t="shared" si="34"/>
        <v>0</v>
      </c>
      <c r="X176" s="770">
        <f t="shared" si="34"/>
        <v>0</v>
      </c>
      <c r="Y176" s="770">
        <f t="shared" si="34"/>
        <v>0</v>
      </c>
      <c r="Z176" s="770">
        <f t="shared" si="34"/>
        <v>0</v>
      </c>
      <c r="AA176" s="770">
        <f t="shared" si="34"/>
        <v>0</v>
      </c>
      <c r="AB176" s="770">
        <f t="shared" si="34"/>
        <v>0</v>
      </c>
      <c r="AC176" s="770">
        <f t="shared" si="34"/>
        <v>0</v>
      </c>
      <c r="AD176" s="770">
        <f t="shared" si="34"/>
        <v>0</v>
      </c>
      <c r="AE176" s="770">
        <f t="shared" si="34"/>
        <v>0</v>
      </c>
      <c r="AF176" s="770">
        <f t="shared" si="34"/>
        <v>0</v>
      </c>
      <c r="AG176" s="770">
        <f t="shared" si="34"/>
        <v>0</v>
      </c>
      <c r="AH176" s="770">
        <f t="shared" si="34"/>
        <v>0</v>
      </c>
      <c r="AI176" s="770">
        <f t="shared" si="34"/>
        <v>0</v>
      </c>
      <c r="AJ176" s="770">
        <f t="shared" si="34"/>
        <v>0</v>
      </c>
      <c r="AK176" s="770">
        <f t="shared" si="34"/>
        <v>0</v>
      </c>
      <c r="AL176" s="770">
        <f t="shared" si="34"/>
        <v>0</v>
      </c>
      <c r="AM176" s="770">
        <f t="shared" si="34"/>
        <v>0</v>
      </c>
      <c r="AN176" s="770">
        <f t="shared" si="34"/>
        <v>0</v>
      </c>
    </row>
    <row r="177" spans="1:40" s="762" customFormat="1" x14ac:dyDescent="0.25">
      <c r="A177" s="773"/>
      <c r="E177" s="778"/>
      <c r="F177" s="778"/>
      <c r="G177" s="778"/>
      <c r="H177" s="778"/>
      <c r="I177" s="778"/>
      <c r="J177" s="771"/>
      <c r="K177" s="770"/>
      <c r="L177" s="770"/>
      <c r="M177" s="770"/>
      <c r="N177" s="770"/>
      <c r="O177" s="770"/>
      <c r="P177" s="770"/>
      <c r="Q177" s="772"/>
      <c r="R177" s="770"/>
      <c r="S177" s="770"/>
      <c r="T177" s="770"/>
      <c r="U177" s="770"/>
      <c r="V177" s="770"/>
      <c r="W177" s="770"/>
      <c r="X177" s="770"/>
      <c r="Y177" s="770"/>
      <c r="Z177" s="770"/>
      <c r="AA177" s="770"/>
      <c r="AB177" s="770"/>
      <c r="AC177" s="770"/>
      <c r="AD177" s="770"/>
      <c r="AE177" s="770"/>
      <c r="AF177" s="770"/>
      <c r="AG177" s="770"/>
      <c r="AH177" s="770"/>
      <c r="AI177" s="770"/>
      <c r="AJ177" s="770"/>
      <c r="AK177" s="770"/>
      <c r="AL177" s="770"/>
      <c r="AM177" s="770"/>
      <c r="AN177" s="770"/>
    </row>
    <row r="178" spans="1:40" s="762" customFormat="1" x14ac:dyDescent="0.25">
      <c r="A178" s="773"/>
      <c r="E178" s="774" t="str">
        <f>'ORT aansluitingen'!C63</f>
        <v>Aantal aansluitingen overige kleinverbruikers (cumulatief)</v>
      </c>
      <c r="F178" s="774">
        <f>MAX(J178:AN178)</f>
        <v>0</v>
      </c>
      <c r="G178" s="763" t="s">
        <v>510</v>
      </c>
      <c r="H178" s="778"/>
      <c r="I178" s="778"/>
      <c r="J178" s="785">
        <f>'ORT aansluitingen'!U63</f>
        <v>0</v>
      </c>
      <c r="K178" s="774">
        <f>'ORT aansluitingen'!V63</f>
        <v>0</v>
      </c>
      <c r="L178" s="774">
        <f>'ORT aansluitingen'!W63</f>
        <v>0</v>
      </c>
      <c r="M178" s="774">
        <f>'ORT aansluitingen'!X63</f>
        <v>0</v>
      </c>
      <c r="N178" s="774">
        <f>'ORT aansluitingen'!Y63</f>
        <v>0</v>
      </c>
      <c r="O178" s="774">
        <f>'ORT aansluitingen'!Z63</f>
        <v>0</v>
      </c>
      <c r="P178" s="774">
        <f>'ORT aansluitingen'!AA63</f>
        <v>0</v>
      </c>
      <c r="Q178" s="786">
        <f>'ORT aansluitingen'!AB63</f>
        <v>0</v>
      </c>
      <c r="R178" s="774">
        <f>'ORT aansluitingen'!AC63</f>
        <v>0</v>
      </c>
      <c r="S178" s="774">
        <f>'ORT aansluitingen'!AD63</f>
        <v>0</v>
      </c>
      <c r="T178" s="774">
        <f>'ORT aansluitingen'!AE63</f>
        <v>0</v>
      </c>
      <c r="U178" s="774">
        <f>'ORT aansluitingen'!AF63</f>
        <v>0</v>
      </c>
      <c r="V178" s="774">
        <f>'ORT aansluitingen'!AG63</f>
        <v>0</v>
      </c>
      <c r="W178" s="774">
        <f>'ORT aansluitingen'!AH63</f>
        <v>0</v>
      </c>
      <c r="X178" s="774">
        <f>'ORT aansluitingen'!AI63</f>
        <v>0</v>
      </c>
      <c r="Y178" s="774">
        <f>'ORT aansluitingen'!AJ63</f>
        <v>0</v>
      </c>
      <c r="Z178" s="774">
        <f>'ORT aansluitingen'!AK63</f>
        <v>0</v>
      </c>
      <c r="AA178" s="774">
        <f>'ORT aansluitingen'!AL63</f>
        <v>0</v>
      </c>
      <c r="AB178" s="774">
        <f>'ORT aansluitingen'!AM63</f>
        <v>0</v>
      </c>
      <c r="AC178" s="774">
        <f>'ORT aansluitingen'!AN63</f>
        <v>0</v>
      </c>
      <c r="AD178" s="774">
        <f>'ORT aansluitingen'!AO63</f>
        <v>0</v>
      </c>
      <c r="AE178" s="774">
        <f>'ORT aansluitingen'!AP63</f>
        <v>0</v>
      </c>
      <c r="AF178" s="774">
        <f>'ORT aansluitingen'!AQ63</f>
        <v>0</v>
      </c>
      <c r="AG178" s="774">
        <f>'ORT aansluitingen'!AR63</f>
        <v>0</v>
      </c>
      <c r="AH178" s="774">
        <f>'ORT aansluitingen'!AS63</f>
        <v>0</v>
      </c>
      <c r="AI178" s="774">
        <f>'ORT aansluitingen'!AT63</f>
        <v>0</v>
      </c>
      <c r="AJ178" s="774">
        <f>'ORT aansluitingen'!AU63</f>
        <v>0</v>
      </c>
      <c r="AK178" s="774">
        <f>'ORT aansluitingen'!AV63</f>
        <v>0</v>
      </c>
      <c r="AL178" s="774">
        <f>'ORT aansluitingen'!AW63</f>
        <v>0</v>
      </c>
      <c r="AM178" s="774">
        <f>'ORT aansluitingen'!AX63</f>
        <v>0</v>
      </c>
      <c r="AN178" s="774">
        <f>'ORT aansluitingen'!AY63</f>
        <v>0</v>
      </c>
    </row>
    <row r="179" spans="1:40" s="762" customFormat="1" x14ac:dyDescent="0.25">
      <c r="A179" s="773"/>
      <c r="E179" s="770" t="s">
        <v>585</v>
      </c>
      <c r="F179" s="770">
        <f>SUM(J179:AN179)</f>
        <v>0</v>
      </c>
      <c r="G179" s="763" t="s">
        <v>534</v>
      </c>
      <c r="H179" s="778"/>
      <c r="I179" s="778"/>
      <c r="J179" s="771">
        <f t="shared" ref="J179:AN179" si="35">J$8 * I178 * ($F$165 + $F$166)</f>
        <v>0</v>
      </c>
      <c r="K179" s="770">
        <f t="shared" si="35"/>
        <v>0</v>
      </c>
      <c r="L179" s="770">
        <f t="shared" si="35"/>
        <v>0</v>
      </c>
      <c r="M179" s="770">
        <f t="shared" si="35"/>
        <v>0</v>
      </c>
      <c r="N179" s="770">
        <f t="shared" si="35"/>
        <v>0</v>
      </c>
      <c r="O179" s="770">
        <f t="shared" si="35"/>
        <v>0</v>
      </c>
      <c r="P179" s="770">
        <f t="shared" si="35"/>
        <v>0</v>
      </c>
      <c r="Q179" s="772">
        <f t="shared" si="35"/>
        <v>0</v>
      </c>
      <c r="R179" s="770">
        <f t="shared" si="35"/>
        <v>0</v>
      </c>
      <c r="S179" s="770">
        <f t="shared" si="35"/>
        <v>0</v>
      </c>
      <c r="T179" s="770">
        <f t="shared" si="35"/>
        <v>0</v>
      </c>
      <c r="U179" s="770">
        <f t="shared" si="35"/>
        <v>0</v>
      </c>
      <c r="V179" s="770">
        <f t="shared" si="35"/>
        <v>0</v>
      </c>
      <c r="W179" s="770">
        <f t="shared" si="35"/>
        <v>0</v>
      </c>
      <c r="X179" s="770">
        <f t="shared" si="35"/>
        <v>0</v>
      </c>
      <c r="Y179" s="770">
        <f t="shared" si="35"/>
        <v>0</v>
      </c>
      <c r="Z179" s="770">
        <f t="shared" si="35"/>
        <v>0</v>
      </c>
      <c r="AA179" s="770">
        <f t="shared" si="35"/>
        <v>0</v>
      </c>
      <c r="AB179" s="770">
        <f t="shared" si="35"/>
        <v>0</v>
      </c>
      <c r="AC179" s="770">
        <f t="shared" si="35"/>
        <v>0</v>
      </c>
      <c r="AD179" s="770">
        <f t="shared" si="35"/>
        <v>0</v>
      </c>
      <c r="AE179" s="770">
        <f t="shared" si="35"/>
        <v>0</v>
      </c>
      <c r="AF179" s="770">
        <f t="shared" si="35"/>
        <v>0</v>
      </c>
      <c r="AG179" s="770">
        <f t="shared" si="35"/>
        <v>0</v>
      </c>
      <c r="AH179" s="770">
        <f t="shared" si="35"/>
        <v>0</v>
      </c>
      <c r="AI179" s="770">
        <f t="shared" si="35"/>
        <v>0</v>
      </c>
      <c r="AJ179" s="770">
        <f t="shared" si="35"/>
        <v>0</v>
      </c>
      <c r="AK179" s="770">
        <f t="shared" si="35"/>
        <v>0</v>
      </c>
      <c r="AL179" s="770">
        <f t="shared" si="35"/>
        <v>0</v>
      </c>
      <c r="AM179" s="770">
        <f t="shared" si="35"/>
        <v>0</v>
      </c>
      <c r="AN179" s="770">
        <f t="shared" si="35"/>
        <v>0</v>
      </c>
    </row>
    <row r="180" spans="1:40" s="762" customFormat="1" x14ac:dyDescent="0.25">
      <c r="A180" s="773"/>
      <c r="E180" s="774" t="str">
        <f>'ORT aansluitingen'!C64</f>
        <v>Warmteverbruik overige kleinverbruikers</v>
      </c>
      <c r="F180" s="774">
        <f>SUM(J180:AN180)</f>
        <v>0</v>
      </c>
      <c r="G180" s="774" t="s">
        <v>518</v>
      </c>
      <c r="H180" s="778"/>
      <c r="I180" s="778"/>
      <c r="J180" s="785">
        <f>'ORT aansluitingen'!U64 * (1 - 'ORT Berekening'!J163)</f>
        <v>0</v>
      </c>
      <c r="K180" s="774">
        <f>'ORT aansluitingen'!V64 * (1 - 'ORT Berekening'!K163)</f>
        <v>0</v>
      </c>
      <c r="L180" s="774">
        <f>'ORT aansluitingen'!W64 * (1 - 'ORT Berekening'!L163)</f>
        <v>0</v>
      </c>
      <c r="M180" s="774">
        <f>'ORT aansluitingen'!X64 * (1 - 'ORT Berekening'!M163)</f>
        <v>0</v>
      </c>
      <c r="N180" s="774">
        <f>'ORT aansluitingen'!Y64 * (1 - 'ORT Berekening'!N163)</f>
        <v>0</v>
      </c>
      <c r="O180" s="774">
        <f>'ORT aansluitingen'!Z64 * (1 - 'ORT Berekening'!O163)</f>
        <v>0</v>
      </c>
      <c r="P180" s="774">
        <f>'ORT aansluitingen'!AA64 * (1 - 'ORT Berekening'!P163)</f>
        <v>0</v>
      </c>
      <c r="Q180" s="786">
        <f>'ORT aansluitingen'!AB64 * (1 - 'ORT Berekening'!Q163)</f>
        <v>0</v>
      </c>
      <c r="R180" s="774">
        <f>'ORT aansluitingen'!AC64 * (1 - 'ORT Berekening'!R163)</f>
        <v>0</v>
      </c>
      <c r="S180" s="774">
        <f>'ORT aansluitingen'!AD64 * (1 - 'ORT Berekening'!S163)</f>
        <v>0</v>
      </c>
      <c r="T180" s="774">
        <f>'ORT aansluitingen'!AE64 * (1 - 'ORT Berekening'!T163)</f>
        <v>0</v>
      </c>
      <c r="U180" s="774">
        <f>'ORT aansluitingen'!AF64 * (1 - 'ORT Berekening'!U163)</f>
        <v>0</v>
      </c>
      <c r="V180" s="774">
        <f>'ORT aansluitingen'!AG64 * (1 - 'ORT Berekening'!V163)</f>
        <v>0</v>
      </c>
      <c r="W180" s="774">
        <f>'ORT aansluitingen'!AH64 * (1 - 'ORT Berekening'!W163)</f>
        <v>0</v>
      </c>
      <c r="X180" s="774">
        <f>'ORT aansluitingen'!AI64 * (1 - 'ORT Berekening'!X163)</f>
        <v>0</v>
      </c>
      <c r="Y180" s="774">
        <f>'ORT aansluitingen'!AJ64 * (1 - 'ORT Berekening'!Y163)</f>
        <v>0</v>
      </c>
      <c r="Z180" s="774">
        <f>'ORT aansluitingen'!AK64 * (1 - 'ORT Berekening'!Z163)</f>
        <v>0</v>
      </c>
      <c r="AA180" s="774">
        <f>'ORT aansluitingen'!AL64 * (1 - 'ORT Berekening'!AA163)</f>
        <v>0</v>
      </c>
      <c r="AB180" s="774">
        <f>'ORT aansluitingen'!AM64 * (1 - 'ORT Berekening'!AB163)</f>
        <v>0</v>
      </c>
      <c r="AC180" s="774">
        <f>'ORT aansluitingen'!AN64 * (1 - 'ORT Berekening'!AC163)</f>
        <v>0</v>
      </c>
      <c r="AD180" s="774">
        <f>'ORT aansluitingen'!AO64 * (1 - 'ORT Berekening'!AD163)</f>
        <v>0</v>
      </c>
      <c r="AE180" s="774">
        <f>'ORT aansluitingen'!AP64 * (1 - 'ORT Berekening'!AE163)</f>
        <v>0</v>
      </c>
      <c r="AF180" s="774">
        <f>'ORT aansluitingen'!AQ64 * (1 - 'ORT Berekening'!AF163)</f>
        <v>0</v>
      </c>
      <c r="AG180" s="774">
        <f>'ORT aansluitingen'!AR64 * (1 - 'ORT Berekening'!AG163)</f>
        <v>0</v>
      </c>
      <c r="AH180" s="774">
        <f>'ORT aansluitingen'!AS64 * (1 - 'ORT Berekening'!AH163)</f>
        <v>0</v>
      </c>
      <c r="AI180" s="774">
        <f>'ORT aansluitingen'!AT64 * (1 - 'ORT Berekening'!AI163)</f>
        <v>0</v>
      </c>
      <c r="AJ180" s="774">
        <f>'ORT aansluitingen'!AU64 * (1 - 'ORT Berekening'!AJ163)</f>
        <v>0</v>
      </c>
      <c r="AK180" s="774">
        <f>'ORT aansluitingen'!AV64 * (1 - 'ORT Berekening'!AK163)</f>
        <v>0</v>
      </c>
      <c r="AL180" s="774">
        <f>'ORT aansluitingen'!AW64 * (1 - 'ORT Berekening'!AL163)</f>
        <v>0</v>
      </c>
      <c r="AM180" s="774">
        <f>'ORT aansluitingen'!AX64 * (1 - 'ORT Berekening'!AM163)</f>
        <v>0</v>
      </c>
      <c r="AN180" s="774">
        <f>'ORT aansluitingen'!AY64 * (1 - 'ORT Berekening'!AN163)</f>
        <v>0</v>
      </c>
    </row>
    <row r="181" spans="1:40" s="762" customFormat="1" x14ac:dyDescent="0.25">
      <c r="A181" s="773"/>
      <c r="E181" s="778" t="s">
        <v>586</v>
      </c>
      <c r="F181" s="770">
        <f>SUM(J181:AN181)</f>
        <v>0</v>
      </c>
      <c r="G181" s="763" t="s">
        <v>534</v>
      </c>
      <c r="H181" s="778"/>
      <c r="I181" s="778"/>
      <c r="J181" s="771">
        <f t="shared" ref="J181:AN181" si="36">J$8 * $F$164 * J180</f>
        <v>0</v>
      </c>
      <c r="K181" s="770">
        <f t="shared" si="36"/>
        <v>0</v>
      </c>
      <c r="L181" s="770">
        <f t="shared" si="36"/>
        <v>0</v>
      </c>
      <c r="M181" s="770">
        <f t="shared" si="36"/>
        <v>0</v>
      </c>
      <c r="N181" s="770">
        <f t="shared" si="36"/>
        <v>0</v>
      </c>
      <c r="O181" s="770">
        <f t="shared" si="36"/>
        <v>0</v>
      </c>
      <c r="P181" s="770">
        <f t="shared" si="36"/>
        <v>0</v>
      </c>
      <c r="Q181" s="772">
        <f t="shared" si="36"/>
        <v>0</v>
      </c>
      <c r="R181" s="770">
        <f t="shared" si="36"/>
        <v>0</v>
      </c>
      <c r="S181" s="770">
        <f t="shared" si="36"/>
        <v>0</v>
      </c>
      <c r="T181" s="770">
        <f t="shared" si="36"/>
        <v>0</v>
      </c>
      <c r="U181" s="770">
        <f t="shared" si="36"/>
        <v>0</v>
      </c>
      <c r="V181" s="770">
        <f t="shared" si="36"/>
        <v>0</v>
      </c>
      <c r="W181" s="770">
        <f t="shared" si="36"/>
        <v>0</v>
      </c>
      <c r="X181" s="770">
        <f t="shared" si="36"/>
        <v>0</v>
      </c>
      <c r="Y181" s="770">
        <f t="shared" si="36"/>
        <v>0</v>
      </c>
      <c r="Z181" s="770">
        <f t="shared" si="36"/>
        <v>0</v>
      </c>
      <c r="AA181" s="770">
        <f t="shared" si="36"/>
        <v>0</v>
      </c>
      <c r="AB181" s="770">
        <f t="shared" si="36"/>
        <v>0</v>
      </c>
      <c r="AC181" s="770">
        <f t="shared" si="36"/>
        <v>0</v>
      </c>
      <c r="AD181" s="770">
        <f t="shared" si="36"/>
        <v>0</v>
      </c>
      <c r="AE181" s="770">
        <f t="shared" si="36"/>
        <v>0</v>
      </c>
      <c r="AF181" s="770">
        <f t="shared" si="36"/>
        <v>0</v>
      </c>
      <c r="AG181" s="770">
        <f t="shared" si="36"/>
        <v>0</v>
      </c>
      <c r="AH181" s="770">
        <f t="shared" si="36"/>
        <v>0</v>
      </c>
      <c r="AI181" s="770">
        <f t="shared" si="36"/>
        <v>0</v>
      </c>
      <c r="AJ181" s="770">
        <f t="shared" si="36"/>
        <v>0</v>
      </c>
      <c r="AK181" s="770">
        <f t="shared" si="36"/>
        <v>0</v>
      </c>
      <c r="AL181" s="770">
        <f t="shared" si="36"/>
        <v>0</v>
      </c>
      <c r="AM181" s="770">
        <f t="shared" si="36"/>
        <v>0</v>
      </c>
      <c r="AN181" s="770">
        <f t="shared" si="36"/>
        <v>0</v>
      </c>
    </row>
    <row r="182" spans="1:40" s="762" customFormat="1" x14ac:dyDescent="0.25">
      <c r="A182" s="773"/>
      <c r="E182" s="778"/>
      <c r="F182" s="770"/>
      <c r="G182" s="763"/>
      <c r="H182" s="778"/>
      <c r="I182" s="778"/>
      <c r="J182" s="771"/>
      <c r="K182" s="770"/>
      <c r="L182" s="770"/>
      <c r="M182" s="770"/>
      <c r="N182" s="770"/>
      <c r="O182" s="770"/>
      <c r="P182" s="770"/>
      <c r="Q182" s="772"/>
      <c r="R182" s="770"/>
      <c r="S182" s="770"/>
      <c r="T182" s="770"/>
      <c r="U182" s="770"/>
      <c r="V182" s="770"/>
      <c r="W182" s="770"/>
      <c r="X182" s="770"/>
      <c r="Y182" s="770"/>
      <c r="Z182" s="770"/>
      <c r="AA182" s="770"/>
      <c r="AB182" s="770"/>
      <c r="AC182" s="770"/>
      <c r="AD182" s="770"/>
      <c r="AE182" s="770"/>
      <c r="AF182" s="770"/>
      <c r="AG182" s="770"/>
      <c r="AH182" s="770"/>
      <c r="AI182" s="770"/>
      <c r="AJ182" s="770"/>
      <c r="AK182" s="770"/>
      <c r="AL182" s="770"/>
      <c r="AM182" s="770"/>
      <c r="AN182" s="770"/>
    </row>
    <row r="183" spans="1:40" s="1037" customFormat="1" hidden="1" outlineLevel="1" x14ac:dyDescent="0.25">
      <c r="A183" s="1036"/>
      <c r="E183" s="1037" t="s">
        <v>587</v>
      </c>
      <c r="F183" s="1039">
        <f>MAX(J183:AN183)</f>
        <v>0</v>
      </c>
      <c r="G183" s="1037" t="s">
        <v>510</v>
      </c>
      <c r="J183" s="1052">
        <f>SUM($I89:J89)</f>
        <v>0</v>
      </c>
      <c r="K183" s="1039">
        <f>SUM($I89:K89)</f>
        <v>0</v>
      </c>
      <c r="L183" s="1039">
        <f>SUM($I89:L89)</f>
        <v>0</v>
      </c>
      <c r="M183" s="1039">
        <f>SUM($I89:M89)</f>
        <v>0</v>
      </c>
      <c r="N183" s="1039">
        <f>SUM($I89:N89)</f>
        <v>0</v>
      </c>
      <c r="O183" s="1039">
        <f>SUM($I89:O89)</f>
        <v>0</v>
      </c>
      <c r="P183" s="1039">
        <f>SUM($I89:P89)</f>
        <v>0</v>
      </c>
      <c r="Q183" s="1039">
        <f>SUM($I89:Q89)</f>
        <v>0</v>
      </c>
      <c r="R183" s="1052">
        <f>SUM($I89:R89)</f>
        <v>0</v>
      </c>
      <c r="S183" s="1039">
        <f>SUM($I89:S89)</f>
        <v>0</v>
      </c>
      <c r="T183" s="1039">
        <f>SUM($I89:T89)</f>
        <v>0</v>
      </c>
      <c r="U183" s="1039">
        <f>SUM($I89:U89)</f>
        <v>0</v>
      </c>
      <c r="V183" s="1039">
        <f>SUM($I89:V89)</f>
        <v>0</v>
      </c>
      <c r="W183" s="1039">
        <f>SUM($I89:W89)</f>
        <v>0</v>
      </c>
      <c r="X183" s="1039">
        <f>SUM($I89:X89)</f>
        <v>0</v>
      </c>
      <c r="Y183" s="1039">
        <f>SUM($I89:Y89)</f>
        <v>0</v>
      </c>
      <c r="Z183" s="1039">
        <f>SUM($I89:Z89)</f>
        <v>0</v>
      </c>
      <c r="AA183" s="1039">
        <f>SUM($I89:AA89)</f>
        <v>0</v>
      </c>
      <c r="AB183" s="1039">
        <f>SUM($I89:AB89)</f>
        <v>0</v>
      </c>
      <c r="AC183" s="1039">
        <f>SUM($I89:AC89)</f>
        <v>0</v>
      </c>
      <c r="AD183" s="1039">
        <f>SUM($I89:AD89)</f>
        <v>0</v>
      </c>
      <c r="AE183" s="1039">
        <f>SUM($I89:AE89)</f>
        <v>0</v>
      </c>
      <c r="AF183" s="1039">
        <f>SUM($I89:AF89)</f>
        <v>0</v>
      </c>
      <c r="AG183" s="1039">
        <f>SUM($I89:AG89)</f>
        <v>0</v>
      </c>
      <c r="AH183" s="1039">
        <f>SUM($I89:AH89)</f>
        <v>0</v>
      </c>
      <c r="AI183" s="1039">
        <f>SUM($I89:AI89)</f>
        <v>0</v>
      </c>
      <c r="AJ183" s="1039">
        <f>SUM($I89:AJ89)</f>
        <v>0</v>
      </c>
      <c r="AK183" s="1039">
        <f>SUM($I89:AK89)</f>
        <v>0</v>
      </c>
      <c r="AL183" s="1039">
        <f>SUM($I89:AL89)</f>
        <v>0</v>
      </c>
      <c r="AM183" s="1039">
        <f>SUM($I89:AM89)</f>
        <v>0</v>
      </c>
      <c r="AN183" s="1039">
        <f>SUM($I89:AN89)</f>
        <v>0</v>
      </c>
    </row>
    <row r="184" spans="1:40" s="1037" customFormat="1" hidden="1" outlineLevel="1" x14ac:dyDescent="0.25">
      <c r="A184" s="1036"/>
      <c r="E184" s="1037" t="s">
        <v>588</v>
      </c>
      <c r="F184" s="1039">
        <f>SUM(J184:AN184)</f>
        <v>0</v>
      </c>
      <c r="G184" s="1037" t="s">
        <v>534</v>
      </c>
      <c r="J184" s="1052">
        <f t="shared" ref="J184:AN184" si="37">J$8 * I183 * ($F$165 + $F$166)</f>
        <v>0</v>
      </c>
      <c r="K184" s="1039">
        <f t="shared" si="37"/>
        <v>0</v>
      </c>
      <c r="L184" s="1039">
        <f t="shared" si="37"/>
        <v>0</v>
      </c>
      <c r="M184" s="1039">
        <f t="shared" si="37"/>
        <v>0</v>
      </c>
      <c r="N184" s="1039">
        <f t="shared" si="37"/>
        <v>0</v>
      </c>
      <c r="O184" s="1039">
        <f t="shared" si="37"/>
        <v>0</v>
      </c>
      <c r="P184" s="1039">
        <f t="shared" si="37"/>
        <v>0</v>
      </c>
      <c r="Q184" s="1053">
        <f t="shared" si="37"/>
        <v>0</v>
      </c>
      <c r="R184" s="1039">
        <f t="shared" si="37"/>
        <v>0</v>
      </c>
      <c r="S184" s="1039">
        <f t="shared" si="37"/>
        <v>0</v>
      </c>
      <c r="T184" s="1039">
        <f t="shared" si="37"/>
        <v>0</v>
      </c>
      <c r="U184" s="1039">
        <f t="shared" si="37"/>
        <v>0</v>
      </c>
      <c r="V184" s="1039">
        <f t="shared" si="37"/>
        <v>0</v>
      </c>
      <c r="W184" s="1039">
        <f t="shared" si="37"/>
        <v>0</v>
      </c>
      <c r="X184" s="1039">
        <f t="shared" si="37"/>
        <v>0</v>
      </c>
      <c r="Y184" s="1039">
        <f t="shared" si="37"/>
        <v>0</v>
      </c>
      <c r="Z184" s="1039">
        <f t="shared" si="37"/>
        <v>0</v>
      </c>
      <c r="AA184" s="1039">
        <f t="shared" si="37"/>
        <v>0</v>
      </c>
      <c r="AB184" s="1039">
        <f t="shared" si="37"/>
        <v>0</v>
      </c>
      <c r="AC184" s="1039">
        <f t="shared" si="37"/>
        <v>0</v>
      </c>
      <c r="AD184" s="1039">
        <f t="shared" si="37"/>
        <v>0</v>
      </c>
      <c r="AE184" s="1039">
        <f t="shared" si="37"/>
        <v>0</v>
      </c>
      <c r="AF184" s="1039">
        <f t="shared" si="37"/>
        <v>0</v>
      </c>
      <c r="AG184" s="1039">
        <f t="shared" si="37"/>
        <v>0</v>
      </c>
      <c r="AH184" s="1039">
        <f t="shared" si="37"/>
        <v>0</v>
      </c>
      <c r="AI184" s="1039">
        <f t="shared" si="37"/>
        <v>0</v>
      </c>
      <c r="AJ184" s="1039">
        <f t="shared" si="37"/>
        <v>0</v>
      </c>
      <c r="AK184" s="1039">
        <f t="shared" si="37"/>
        <v>0</v>
      </c>
      <c r="AL184" s="1039">
        <f t="shared" si="37"/>
        <v>0</v>
      </c>
      <c r="AM184" s="1039">
        <f t="shared" si="37"/>
        <v>0</v>
      </c>
      <c r="AN184" s="1039">
        <f t="shared" si="37"/>
        <v>0</v>
      </c>
    </row>
    <row r="185" spans="1:40" s="1037" customFormat="1" hidden="1" outlineLevel="1" x14ac:dyDescent="0.25">
      <c r="A185" s="1036"/>
      <c r="E185" s="1037" t="s">
        <v>589</v>
      </c>
      <c r="F185" s="1039">
        <f>SUM(J185:AN185)</f>
        <v>0</v>
      </c>
      <c r="G185" s="1037" t="s">
        <v>518</v>
      </c>
      <c r="J185" s="1052" cm="1">
        <f t="array" ref="J185">(SUMPRODUCT(('Aansluitingen na looptijd'!$E$10:$I$10=J$5-1)*('Aansluitingen na looptijd'!$E$11:$I$11),'Aansluitingen na looptijd'!$E$12:$I$12)+I185)*(1-$F$163)</f>
        <v>0</v>
      </c>
      <c r="K185" s="1039" cm="1">
        <f t="array" ref="K185">(SUMPRODUCT(('Aansluitingen na looptijd'!$E$10:$I$10=K$5-1)*('Aansluitingen na looptijd'!$E$11:$I$11),'Aansluitingen na looptijd'!$E$12:$I$12)+J185)*(1-$F$163)</f>
        <v>0</v>
      </c>
      <c r="L185" s="1039" cm="1">
        <f t="array" ref="L185">(SUMPRODUCT(('Aansluitingen na looptijd'!$E$10:$I$10=L$5-1)*('Aansluitingen na looptijd'!$E$11:$I$11),'Aansluitingen na looptijd'!$E$12:$I$12)+K185)*(1-$F$163)</f>
        <v>0</v>
      </c>
      <c r="M185" s="1039" cm="1">
        <f t="array" ref="M185">(SUMPRODUCT(('Aansluitingen na looptijd'!$E$10:$I$10=M$5-1)*('Aansluitingen na looptijd'!$E$11:$I$11),'Aansluitingen na looptijd'!$E$12:$I$12)+L185)*(1-$F$163)</f>
        <v>0</v>
      </c>
      <c r="N185" s="1039" cm="1">
        <f t="array" ref="N185">(SUMPRODUCT(('Aansluitingen na looptijd'!$E$10:$I$10=N$5-1)*('Aansluitingen na looptijd'!$E$11:$I$11),'Aansluitingen na looptijd'!$E$12:$I$12)+M185)*(1-$F$163)</f>
        <v>0</v>
      </c>
      <c r="O185" s="1039" cm="1">
        <f t="array" ref="O185">(SUMPRODUCT(('Aansluitingen na looptijd'!$E$10:$I$10=O$5-1)*('Aansluitingen na looptijd'!$E$11:$I$11),'Aansluitingen na looptijd'!$E$12:$I$12)+N185)*(1-$F$163)</f>
        <v>0</v>
      </c>
      <c r="P185" s="1039" cm="1">
        <f t="array" ref="P185">(SUMPRODUCT(('Aansluitingen na looptijd'!$E$10:$I$10=P$5-1)*('Aansluitingen na looptijd'!$E$11:$I$11),'Aansluitingen na looptijd'!$E$12:$I$12)+O185)*(1-$F$163)</f>
        <v>0</v>
      </c>
      <c r="Q185" s="1053" cm="1">
        <f t="array" ref="Q185">(SUMPRODUCT(('Aansluitingen na looptijd'!$E$10:$I$10=Q$5-1)*('Aansluitingen na looptijd'!$E$11:$I$11),'Aansluitingen na looptijd'!$E$12:$I$12)+P185)*(1-$F$163)</f>
        <v>0</v>
      </c>
      <c r="R185" s="1039" cm="1">
        <f t="array" ref="R185">(SUMPRODUCT(('Aansluitingen na looptijd'!$E$10:$I$10=R$5-1)*('Aansluitingen na looptijd'!$E$11:$I$11),'Aansluitingen na looptijd'!$E$12:$I$12)+Q185)*(1-$F$163)</f>
        <v>0</v>
      </c>
      <c r="S185" s="1039" cm="1">
        <f t="array" ref="S185">(SUMPRODUCT(('Aansluitingen na looptijd'!$E$10:$I$10=S$5-1)*('Aansluitingen na looptijd'!$E$11:$I$11),'Aansluitingen na looptijd'!$E$12:$I$12)+R185)*(1-$F$163)</f>
        <v>0</v>
      </c>
      <c r="T185" s="1039" cm="1">
        <f t="array" ref="T185">(SUMPRODUCT(('Aansluitingen na looptijd'!$E$10:$I$10=T$5-1)*('Aansluitingen na looptijd'!$E$11:$I$11),'Aansluitingen na looptijd'!$E$12:$I$12)+S185)*(1-$F$163)</f>
        <v>0</v>
      </c>
      <c r="U185" s="1039" cm="1">
        <f t="array" ref="U185">(SUMPRODUCT(('Aansluitingen na looptijd'!$E$10:$I$10=U$5-1)*('Aansluitingen na looptijd'!$E$11:$I$11),'Aansluitingen na looptijd'!$E$12:$I$12)+T185)*(1-$F$163)</f>
        <v>0</v>
      </c>
      <c r="V185" s="1039" cm="1">
        <f t="array" ref="V185">(SUMPRODUCT(('Aansluitingen na looptijd'!$E$10:$I$10=V$5-1)*('Aansluitingen na looptijd'!$E$11:$I$11),'Aansluitingen na looptijd'!$E$12:$I$12)+U185)*(1-$F$163)</f>
        <v>0</v>
      </c>
      <c r="W185" s="1039" cm="1">
        <f t="array" ref="W185">(SUMPRODUCT(('Aansluitingen na looptijd'!$E$10:$I$10=W$5-1)*('Aansluitingen na looptijd'!$E$11:$I$11),'Aansluitingen na looptijd'!$E$12:$I$12)+V185)*(1-$F$163)</f>
        <v>0</v>
      </c>
      <c r="X185" s="1039" cm="1">
        <f t="array" ref="X185">(SUMPRODUCT(('Aansluitingen na looptijd'!$E$10:$I$10=X$5-1)*('Aansluitingen na looptijd'!$E$11:$I$11),'Aansluitingen na looptijd'!$E$12:$I$12)+W185)*(1-$F$163)</f>
        <v>0</v>
      </c>
      <c r="Y185" s="1039" cm="1">
        <f t="array" ref="Y185">(SUMPRODUCT(('Aansluitingen na looptijd'!$E$10:$I$10=Y$5-1)*('Aansluitingen na looptijd'!$E$11:$I$11),'Aansluitingen na looptijd'!$E$12:$I$12)+X185)*(1-$F$163)</f>
        <v>0</v>
      </c>
      <c r="Z185" s="1039" cm="1">
        <f t="array" ref="Z185">(SUMPRODUCT(('Aansluitingen na looptijd'!$E$10:$I$10=Z$5-1)*('Aansluitingen na looptijd'!$E$11:$I$11),'Aansluitingen na looptijd'!$E$12:$I$12)+Y185)*(1-$F$163)</f>
        <v>0</v>
      </c>
      <c r="AA185" s="1039" cm="1">
        <f t="array" ref="AA185">(SUMPRODUCT(('Aansluitingen na looptijd'!$E$10:$I$10=AA$5-1)*('Aansluitingen na looptijd'!$E$11:$I$11),'Aansluitingen na looptijd'!$E$12:$I$12)+Z185)*(1-$F$163)</f>
        <v>0</v>
      </c>
      <c r="AB185" s="1039" cm="1">
        <f t="array" ref="AB185">(SUMPRODUCT(('Aansluitingen na looptijd'!$E$10:$I$10=AB$5-1)*('Aansluitingen na looptijd'!$E$11:$I$11),'Aansluitingen na looptijd'!$E$12:$I$12)+AA185)*(1-$F$163)</f>
        <v>0</v>
      </c>
      <c r="AC185" s="1039" cm="1">
        <f t="array" ref="AC185">(SUMPRODUCT(('Aansluitingen na looptijd'!$E$10:$I$10=AC$5-1)*('Aansluitingen na looptijd'!$E$11:$I$11),'Aansluitingen na looptijd'!$E$12:$I$12)+AB185)*(1-$F$163)</f>
        <v>0</v>
      </c>
      <c r="AD185" s="1039" cm="1">
        <f t="array" ref="AD185">(SUMPRODUCT(('Aansluitingen na looptijd'!$E$10:$I$10=AD$5-1)*('Aansluitingen na looptijd'!$E$11:$I$11),'Aansluitingen na looptijd'!$E$12:$I$12)+AC185)*(1-$F$163)</f>
        <v>0</v>
      </c>
      <c r="AE185" s="1039" cm="1">
        <f t="array" ref="AE185">(SUMPRODUCT(('Aansluitingen na looptijd'!$E$10:$I$10=AE$5-1)*('Aansluitingen na looptijd'!$E$11:$I$11),'Aansluitingen na looptijd'!$E$12:$I$12)+AD185)*(1-$F$163)</f>
        <v>0</v>
      </c>
      <c r="AF185" s="1039" cm="1">
        <f t="array" ref="AF185">(SUMPRODUCT(('Aansluitingen na looptijd'!$E$10:$I$10=AF$5-1)*('Aansluitingen na looptijd'!$E$11:$I$11),'Aansluitingen na looptijd'!$E$12:$I$12)+AE185)*(1-$F$163)</f>
        <v>0</v>
      </c>
      <c r="AG185" s="1039" cm="1">
        <f t="array" ref="AG185">(SUMPRODUCT(('Aansluitingen na looptijd'!$E$10:$I$10=AG$5-1)*('Aansluitingen na looptijd'!$E$11:$I$11),'Aansluitingen na looptijd'!$E$12:$I$12)+AF185)*(1-$F$163)</f>
        <v>0</v>
      </c>
      <c r="AH185" s="1039" cm="1">
        <f t="array" ref="AH185">(SUMPRODUCT(('Aansluitingen na looptijd'!$E$10:$I$10=AH$5-1)*('Aansluitingen na looptijd'!$E$11:$I$11),'Aansluitingen na looptijd'!$E$12:$I$12)+AG185)*(1-$F$163)</f>
        <v>0</v>
      </c>
      <c r="AI185" s="1039" cm="1">
        <f t="array" ref="AI185">(SUMPRODUCT(('Aansluitingen na looptijd'!$E$10:$I$10=AI$5-1)*('Aansluitingen na looptijd'!$E$11:$I$11),'Aansluitingen na looptijd'!$E$12:$I$12)+AH185)*(1-$F$163)</f>
        <v>0</v>
      </c>
      <c r="AJ185" s="1039" cm="1">
        <f t="array" ref="AJ185">(SUMPRODUCT(('Aansluitingen na looptijd'!$E$10:$I$10=AJ$5-1)*('Aansluitingen na looptijd'!$E$11:$I$11),'Aansluitingen na looptijd'!$E$12:$I$12)+AI185)*(1-$F$163)</f>
        <v>0</v>
      </c>
      <c r="AK185" s="1039" cm="1">
        <f t="array" ref="AK185">(SUMPRODUCT(('Aansluitingen na looptijd'!$E$10:$I$10=AK$5-1)*('Aansluitingen na looptijd'!$E$11:$I$11),'Aansluitingen na looptijd'!$E$12:$I$12)+AJ185)*(1-$F$163)</f>
        <v>0</v>
      </c>
      <c r="AL185" s="1039" cm="1">
        <f t="array" ref="AL185">(SUMPRODUCT(('Aansluitingen na looptijd'!$E$10:$I$10=AL$5-1)*('Aansluitingen na looptijd'!$E$11:$I$11),'Aansluitingen na looptijd'!$E$12:$I$12)+AK185)*(1-$F$163)</f>
        <v>0</v>
      </c>
      <c r="AM185" s="1039" cm="1">
        <f t="array" ref="AM185">(SUMPRODUCT(('Aansluitingen na looptijd'!$E$10:$I$10=AM$5-1)*('Aansluitingen na looptijd'!$E$11:$I$11),'Aansluitingen na looptijd'!$E$12:$I$12)+AL185)*(1-$F$163)</f>
        <v>0</v>
      </c>
      <c r="AN185" s="1039" cm="1">
        <f t="array" ref="AN185">(SUMPRODUCT(('Aansluitingen na looptijd'!$E$10:$I$10=AN$5-1)*('Aansluitingen na looptijd'!$E$11:$I$11),'Aansluitingen na looptijd'!$E$12:$I$12)+AM185)*(1-$F$163)</f>
        <v>0</v>
      </c>
    </row>
    <row r="186" spans="1:40" s="1037" customFormat="1" hidden="1" outlineLevel="1" x14ac:dyDescent="0.25">
      <c r="A186" s="1036"/>
      <c r="E186" s="1037" t="s">
        <v>590</v>
      </c>
      <c r="F186" s="1039">
        <f>SUM(J186:AN186)</f>
        <v>0</v>
      </c>
      <c r="G186" s="1037" t="s">
        <v>534</v>
      </c>
      <c r="J186" s="1052">
        <f t="shared" ref="J186:AN186" si="38">J$8 * $F$164 * J185</f>
        <v>0</v>
      </c>
      <c r="K186" s="1039">
        <f t="shared" si="38"/>
        <v>0</v>
      </c>
      <c r="L186" s="1039">
        <f t="shared" si="38"/>
        <v>0</v>
      </c>
      <c r="M186" s="1039">
        <f t="shared" si="38"/>
        <v>0</v>
      </c>
      <c r="N186" s="1039">
        <f t="shared" si="38"/>
        <v>0</v>
      </c>
      <c r="O186" s="1039">
        <f t="shared" si="38"/>
        <v>0</v>
      </c>
      <c r="P186" s="1039">
        <f t="shared" si="38"/>
        <v>0</v>
      </c>
      <c r="Q186" s="1053">
        <f t="shared" si="38"/>
        <v>0</v>
      </c>
      <c r="R186" s="1039">
        <f t="shared" si="38"/>
        <v>0</v>
      </c>
      <c r="S186" s="1039">
        <f t="shared" si="38"/>
        <v>0</v>
      </c>
      <c r="T186" s="1039">
        <f t="shared" si="38"/>
        <v>0</v>
      </c>
      <c r="U186" s="1039">
        <f t="shared" si="38"/>
        <v>0</v>
      </c>
      <c r="V186" s="1039">
        <f t="shared" si="38"/>
        <v>0</v>
      </c>
      <c r="W186" s="1039">
        <f t="shared" si="38"/>
        <v>0</v>
      </c>
      <c r="X186" s="1039">
        <f t="shared" si="38"/>
        <v>0</v>
      </c>
      <c r="Y186" s="1039">
        <f t="shared" si="38"/>
        <v>0</v>
      </c>
      <c r="Z186" s="1039">
        <f t="shared" si="38"/>
        <v>0</v>
      </c>
      <c r="AA186" s="1039">
        <f t="shared" si="38"/>
        <v>0</v>
      </c>
      <c r="AB186" s="1039">
        <f t="shared" si="38"/>
        <v>0</v>
      </c>
      <c r="AC186" s="1039">
        <f t="shared" si="38"/>
        <v>0</v>
      </c>
      <c r="AD186" s="1039">
        <f t="shared" si="38"/>
        <v>0</v>
      </c>
      <c r="AE186" s="1039">
        <f t="shared" si="38"/>
        <v>0</v>
      </c>
      <c r="AF186" s="1039">
        <f t="shared" si="38"/>
        <v>0</v>
      </c>
      <c r="AG186" s="1039">
        <f t="shared" si="38"/>
        <v>0</v>
      </c>
      <c r="AH186" s="1039">
        <f t="shared" si="38"/>
        <v>0</v>
      </c>
      <c r="AI186" s="1039">
        <f t="shared" si="38"/>
        <v>0</v>
      </c>
      <c r="AJ186" s="1039">
        <f t="shared" si="38"/>
        <v>0</v>
      </c>
      <c r="AK186" s="1039">
        <f t="shared" si="38"/>
        <v>0</v>
      </c>
      <c r="AL186" s="1039">
        <f t="shared" si="38"/>
        <v>0</v>
      </c>
      <c r="AM186" s="1039">
        <f t="shared" si="38"/>
        <v>0</v>
      </c>
      <c r="AN186" s="1039">
        <f t="shared" si="38"/>
        <v>0</v>
      </c>
    </row>
    <row r="187" spans="1:40" s="762" customFormat="1" collapsed="1" x14ac:dyDescent="0.25">
      <c r="A187" s="773"/>
      <c r="E187" s="778"/>
      <c r="F187" s="778"/>
      <c r="G187" s="778"/>
      <c r="H187" s="778"/>
      <c r="I187" s="778"/>
      <c r="J187" s="771"/>
      <c r="K187" s="770"/>
      <c r="L187" s="770"/>
      <c r="M187" s="770"/>
      <c r="N187" s="770"/>
      <c r="O187" s="770"/>
      <c r="P187" s="770"/>
      <c r="Q187" s="772"/>
      <c r="R187" s="770"/>
      <c r="S187" s="770"/>
      <c r="T187" s="770"/>
      <c r="U187" s="770"/>
      <c r="V187" s="770"/>
      <c r="W187" s="770"/>
      <c r="X187" s="770"/>
      <c r="Y187" s="770"/>
      <c r="Z187" s="770"/>
      <c r="AA187" s="770"/>
      <c r="AB187" s="770"/>
      <c r="AC187" s="770"/>
      <c r="AD187" s="770"/>
      <c r="AE187" s="770"/>
      <c r="AF187" s="770"/>
      <c r="AG187" s="770"/>
      <c r="AH187" s="770"/>
      <c r="AI187" s="770"/>
      <c r="AJ187" s="770"/>
      <c r="AK187" s="770"/>
      <c r="AL187" s="770"/>
      <c r="AM187" s="770"/>
      <c r="AN187" s="770"/>
    </row>
    <row r="188" spans="1:40" s="795" customFormat="1" x14ac:dyDescent="0.25">
      <c r="A188" s="806"/>
      <c r="E188" s="795" t="s">
        <v>591</v>
      </c>
      <c r="G188" s="799"/>
      <c r="H188" s="799"/>
      <c r="J188" s="800">
        <f xml:space="preserve"> J169 + J171 + J174 + J176 + J179 + J181 + J184 + J186</f>
        <v>0</v>
      </c>
      <c r="K188" s="799">
        <f t="shared" ref="K188:AN188" si="39" xml:space="preserve"> K169 + K171 + K174 + K176 + K179 + K181 + K184 + K186</f>
        <v>0</v>
      </c>
      <c r="L188" s="799">
        <f t="shared" si="39"/>
        <v>0</v>
      </c>
      <c r="M188" s="799">
        <f t="shared" si="39"/>
        <v>0</v>
      </c>
      <c r="N188" s="799">
        <f xml:space="preserve"> N169 + N171 + N174 + N176 + N179 + N181 + N184 + N186</f>
        <v>0</v>
      </c>
      <c r="O188" s="799">
        <f t="shared" si="39"/>
        <v>0</v>
      </c>
      <c r="P188" s="799">
        <f t="shared" si="39"/>
        <v>0</v>
      </c>
      <c r="Q188" s="801">
        <f t="shared" si="39"/>
        <v>0</v>
      </c>
      <c r="R188" s="799">
        <f t="shared" si="39"/>
        <v>0</v>
      </c>
      <c r="S188" s="799">
        <f xml:space="preserve"> S169 + S171 + S174 + S176 + S179 + S181 + S184 + S186</f>
        <v>0</v>
      </c>
      <c r="T188" s="799">
        <f t="shared" si="39"/>
        <v>0</v>
      </c>
      <c r="U188" s="799">
        <f t="shared" si="39"/>
        <v>0</v>
      </c>
      <c r="V188" s="799">
        <f t="shared" si="39"/>
        <v>0</v>
      </c>
      <c r="W188" s="799">
        <f xml:space="preserve"> W169 + W171 + W174 + W176 + W179 + W181 + W184 + W186</f>
        <v>0</v>
      </c>
      <c r="X188" s="799">
        <f t="shared" si="39"/>
        <v>0</v>
      </c>
      <c r="Y188" s="799">
        <f t="shared" si="39"/>
        <v>0</v>
      </c>
      <c r="Z188" s="799">
        <f t="shared" si="39"/>
        <v>0</v>
      </c>
      <c r="AA188" s="799">
        <f t="shared" si="39"/>
        <v>0</v>
      </c>
      <c r="AB188" s="799">
        <f t="shared" si="39"/>
        <v>0</v>
      </c>
      <c r="AC188" s="799">
        <f t="shared" si="39"/>
        <v>0</v>
      </c>
      <c r="AD188" s="799">
        <f t="shared" si="39"/>
        <v>0</v>
      </c>
      <c r="AE188" s="799">
        <f t="shared" si="39"/>
        <v>0</v>
      </c>
      <c r="AF188" s="799">
        <f t="shared" si="39"/>
        <v>0</v>
      </c>
      <c r="AG188" s="799">
        <f t="shared" si="39"/>
        <v>0</v>
      </c>
      <c r="AH188" s="799">
        <f t="shared" si="39"/>
        <v>0</v>
      </c>
      <c r="AI188" s="799">
        <f t="shared" si="39"/>
        <v>0</v>
      </c>
      <c r="AJ188" s="799">
        <f t="shared" si="39"/>
        <v>0</v>
      </c>
      <c r="AK188" s="799">
        <f t="shared" si="39"/>
        <v>0</v>
      </c>
      <c r="AL188" s="799">
        <f t="shared" si="39"/>
        <v>0</v>
      </c>
      <c r="AM188" s="799">
        <f t="shared" si="39"/>
        <v>0</v>
      </c>
      <c r="AN188" s="799">
        <f t="shared" si="39"/>
        <v>0</v>
      </c>
    </row>
    <row r="189" spans="1:40" s="762" customFormat="1" x14ac:dyDescent="0.25">
      <c r="A189" s="773"/>
      <c r="E189" s="778"/>
      <c r="F189" s="778"/>
      <c r="G189" s="778"/>
      <c r="H189" s="770"/>
      <c r="I189" s="778"/>
      <c r="J189" s="771"/>
      <c r="K189" s="770"/>
      <c r="L189" s="770"/>
      <c r="M189" s="770"/>
      <c r="N189" s="770"/>
      <c r="O189" s="770"/>
      <c r="P189" s="770"/>
      <c r="Q189" s="772"/>
      <c r="R189" s="770"/>
      <c r="S189" s="770"/>
      <c r="T189" s="770"/>
      <c r="U189" s="770"/>
      <c r="V189" s="770"/>
      <c r="W189" s="770"/>
      <c r="X189" s="770"/>
      <c r="Y189" s="770"/>
      <c r="Z189" s="770"/>
      <c r="AA189" s="770"/>
      <c r="AB189" s="770"/>
      <c r="AC189" s="770"/>
      <c r="AD189" s="770"/>
      <c r="AE189" s="770"/>
      <c r="AF189" s="770"/>
      <c r="AG189" s="770"/>
      <c r="AH189" s="770"/>
      <c r="AI189" s="770"/>
      <c r="AJ189" s="770"/>
      <c r="AK189" s="770"/>
      <c r="AL189" s="770"/>
      <c r="AM189" s="770"/>
      <c r="AN189" s="770"/>
    </row>
    <row r="190" spans="1:40" x14ac:dyDescent="0.25">
      <c r="A190" s="750"/>
      <c r="B190" s="751" t="s">
        <v>592</v>
      </c>
      <c r="C190" s="752"/>
      <c r="D190" s="752"/>
      <c r="E190" s="752"/>
      <c r="F190" s="752"/>
      <c r="G190" s="752"/>
      <c r="H190" s="752"/>
      <c r="I190" s="752"/>
    </row>
    <row r="191" spans="1:40" x14ac:dyDescent="0.25"/>
    <row r="192" spans="1:40" s="761" customFormat="1" x14ac:dyDescent="0.25">
      <c r="E192" s="763" t="str">
        <f>E159</f>
        <v>Totaal aansluitbijdragen</v>
      </c>
      <c r="F192" s="780">
        <v>30</v>
      </c>
      <c r="G192" s="787" t="s">
        <v>229</v>
      </c>
      <c r="J192" s="807">
        <f>J159</f>
        <v>0</v>
      </c>
      <c r="K192" s="761">
        <f t="shared" ref="K192:AN192" si="40">K159</f>
        <v>0</v>
      </c>
      <c r="L192" s="761">
        <f t="shared" si="40"/>
        <v>0</v>
      </c>
      <c r="M192" s="761">
        <f>M159</f>
        <v>0</v>
      </c>
      <c r="N192" s="761">
        <f>N159</f>
        <v>0</v>
      </c>
      <c r="O192" s="761">
        <f t="shared" si="40"/>
        <v>0</v>
      </c>
      <c r="P192" s="761">
        <f t="shared" si="40"/>
        <v>0</v>
      </c>
      <c r="Q192" s="808">
        <f t="shared" si="40"/>
        <v>0</v>
      </c>
      <c r="R192" s="761">
        <f t="shared" si="40"/>
        <v>0</v>
      </c>
      <c r="S192" s="761">
        <f t="shared" si="40"/>
        <v>0</v>
      </c>
      <c r="T192" s="761">
        <f t="shared" si="40"/>
        <v>0</v>
      </c>
      <c r="U192" s="761">
        <f t="shared" si="40"/>
        <v>0</v>
      </c>
      <c r="V192" s="761">
        <f t="shared" si="40"/>
        <v>0</v>
      </c>
      <c r="W192" s="761">
        <f t="shared" si="40"/>
        <v>0</v>
      </c>
      <c r="X192" s="761">
        <f t="shared" si="40"/>
        <v>0</v>
      </c>
      <c r="Y192" s="761">
        <f t="shared" si="40"/>
        <v>0</v>
      </c>
      <c r="Z192" s="761">
        <f t="shared" si="40"/>
        <v>0</v>
      </c>
      <c r="AA192" s="761">
        <f t="shared" si="40"/>
        <v>0</v>
      </c>
      <c r="AB192" s="761">
        <f t="shared" si="40"/>
        <v>0</v>
      </c>
      <c r="AC192" s="761">
        <f t="shared" si="40"/>
        <v>0</v>
      </c>
      <c r="AD192" s="761">
        <f t="shared" si="40"/>
        <v>0</v>
      </c>
      <c r="AE192" s="761">
        <f t="shared" si="40"/>
        <v>0</v>
      </c>
      <c r="AF192" s="761">
        <f t="shared" si="40"/>
        <v>0</v>
      </c>
      <c r="AG192" s="761">
        <f t="shared" si="40"/>
        <v>0</v>
      </c>
      <c r="AH192" s="761">
        <f t="shared" si="40"/>
        <v>0</v>
      </c>
      <c r="AI192" s="761">
        <f t="shared" si="40"/>
        <v>0</v>
      </c>
      <c r="AJ192" s="761">
        <f t="shared" si="40"/>
        <v>0</v>
      </c>
      <c r="AK192" s="761">
        <f t="shared" si="40"/>
        <v>0</v>
      </c>
      <c r="AL192" s="761">
        <f t="shared" si="40"/>
        <v>0</v>
      </c>
      <c r="AM192" s="761">
        <f t="shared" si="40"/>
        <v>0</v>
      </c>
      <c r="AN192" s="761">
        <f t="shared" si="40"/>
        <v>0</v>
      </c>
    </row>
    <row r="193" spans="1:40" s="787" customFormat="1" x14ac:dyDescent="0.25">
      <c r="E193" s="763" t="s">
        <v>499</v>
      </c>
      <c r="F193" s="780"/>
      <c r="J193" s="788">
        <f xml:space="preserve"> IF( J$6 - $F192 &lt;= 0, 0, - INDEX($J192:$AN192, ,J$6 - $F192))</f>
        <v>0</v>
      </c>
      <c r="K193" s="787">
        <f t="shared" ref="K193:AN193" si="41" xml:space="preserve"> IF( K$6 - $F192 &lt;= 0, 0, - INDEX($J192:$AN192, ,K$6 - $F192))</f>
        <v>0</v>
      </c>
      <c r="L193" s="787">
        <f t="shared" si="41"/>
        <v>0</v>
      </c>
      <c r="M193" s="787">
        <f t="shared" si="41"/>
        <v>0</v>
      </c>
      <c r="N193" s="787">
        <f t="shared" si="41"/>
        <v>0</v>
      </c>
      <c r="O193" s="787">
        <f t="shared" si="41"/>
        <v>0</v>
      </c>
      <c r="P193" s="787">
        <f t="shared" si="41"/>
        <v>0</v>
      </c>
      <c r="Q193" s="789">
        <f t="shared" si="41"/>
        <v>0</v>
      </c>
      <c r="R193" s="787">
        <f t="shared" si="41"/>
        <v>0</v>
      </c>
      <c r="S193" s="787">
        <f t="shared" si="41"/>
        <v>0</v>
      </c>
      <c r="T193" s="787">
        <f t="shared" si="41"/>
        <v>0</v>
      </c>
      <c r="U193" s="787">
        <f t="shared" si="41"/>
        <v>0</v>
      </c>
      <c r="V193" s="787">
        <f t="shared" si="41"/>
        <v>0</v>
      </c>
      <c r="W193" s="787">
        <f t="shared" si="41"/>
        <v>0</v>
      </c>
      <c r="X193" s="787">
        <f t="shared" si="41"/>
        <v>0</v>
      </c>
      <c r="Y193" s="787">
        <f t="shared" si="41"/>
        <v>0</v>
      </c>
      <c r="Z193" s="787">
        <f t="shared" si="41"/>
        <v>0</v>
      </c>
      <c r="AA193" s="787">
        <f t="shared" si="41"/>
        <v>0</v>
      </c>
      <c r="AB193" s="787">
        <f t="shared" si="41"/>
        <v>0</v>
      </c>
      <c r="AC193" s="787">
        <f t="shared" si="41"/>
        <v>0</v>
      </c>
      <c r="AD193" s="787">
        <f t="shared" si="41"/>
        <v>0</v>
      </c>
      <c r="AE193" s="787">
        <f t="shared" si="41"/>
        <v>0</v>
      </c>
      <c r="AF193" s="787">
        <f t="shared" si="41"/>
        <v>0</v>
      </c>
      <c r="AG193" s="787">
        <f t="shared" si="41"/>
        <v>0</v>
      </c>
      <c r="AH193" s="787">
        <f t="shared" si="41"/>
        <v>0</v>
      </c>
      <c r="AI193" s="787">
        <f t="shared" si="41"/>
        <v>0</v>
      </c>
      <c r="AJ193" s="787">
        <f t="shared" si="41"/>
        <v>0</v>
      </c>
      <c r="AK193" s="787">
        <f t="shared" si="41"/>
        <v>0</v>
      </c>
      <c r="AL193" s="787">
        <f t="shared" si="41"/>
        <v>0</v>
      </c>
      <c r="AM193" s="787">
        <f t="shared" si="41"/>
        <v>0</v>
      </c>
      <c r="AN193" s="787">
        <f t="shared" si="41"/>
        <v>0</v>
      </c>
    </row>
    <row r="194" spans="1:40" s="799" customFormat="1" x14ac:dyDescent="0.25">
      <c r="A194" s="741"/>
      <c r="E194" s="799" t="s">
        <v>593</v>
      </c>
      <c r="H194" s="811"/>
      <c r="J194" s="800">
        <f>SUM($I192:I193)/$F$192</f>
        <v>0</v>
      </c>
      <c r="K194" s="799">
        <f>SUM($I192:J193)/$F$192</f>
        <v>0</v>
      </c>
      <c r="L194" s="799">
        <f>SUM($I192:K193)/$F$192</f>
        <v>0</v>
      </c>
      <c r="M194" s="799">
        <f>SUM($I192:L193)/$F$192</f>
        <v>0</v>
      </c>
      <c r="N194" s="799">
        <f>SUM($I192:M193)/$F$192</f>
        <v>0</v>
      </c>
      <c r="O194" s="799">
        <f>SUM($I192:N193)/$F$192</f>
        <v>0</v>
      </c>
      <c r="P194" s="799">
        <f>SUM($I192:O193)/$F$192</f>
        <v>0</v>
      </c>
      <c r="Q194" s="801">
        <f>SUM($I192:P193)/$F$192</f>
        <v>0</v>
      </c>
      <c r="R194" s="799">
        <f>SUM($I192:Q193)/$F$192</f>
        <v>0</v>
      </c>
      <c r="S194" s="799">
        <f>SUM($I192:R193)/$F$192</f>
        <v>0</v>
      </c>
      <c r="T194" s="799">
        <f>SUM($I192:S193)/$F$192</f>
        <v>0</v>
      </c>
      <c r="U194" s="799">
        <f>SUM($I192:T193)/$F$192</f>
        <v>0</v>
      </c>
      <c r="V194" s="799">
        <f>SUM($I192:U193)/$F$192</f>
        <v>0</v>
      </c>
      <c r="W194" s="799">
        <f>SUM($I192:V193)/$F$192</f>
        <v>0</v>
      </c>
      <c r="X194" s="799">
        <f>SUM($I192:W193)/$F$192</f>
        <v>0</v>
      </c>
      <c r="Y194" s="799">
        <f>SUM($I192:X193)/$F$192</f>
        <v>0</v>
      </c>
      <c r="Z194" s="799">
        <f>SUM($I192:Y193)/$F$192</f>
        <v>0</v>
      </c>
      <c r="AA194" s="799">
        <f>SUM($I192:Z193)/$F$192</f>
        <v>0</v>
      </c>
      <c r="AB194" s="799">
        <f>SUM($I192:AA193)/$F$192</f>
        <v>0</v>
      </c>
      <c r="AC194" s="799">
        <f>SUM($I192:AB193)/$F$192</f>
        <v>0</v>
      </c>
      <c r="AD194" s="799">
        <f>SUM($I192:AC193)/$F$192</f>
        <v>0</v>
      </c>
      <c r="AE194" s="799">
        <f>SUM($I192:AD193)/$F$192</f>
        <v>0</v>
      </c>
      <c r="AF194" s="799">
        <f>SUM($I192:AE193)/$F$192</f>
        <v>0</v>
      </c>
      <c r="AG194" s="799">
        <f>SUM($I192:AF193)/$F$192</f>
        <v>0</v>
      </c>
      <c r="AH194" s="799">
        <f>SUM($I192:AG193)/$F$192</f>
        <v>0</v>
      </c>
      <c r="AI194" s="799">
        <f>SUM($I192:AH193)/$F$192</f>
        <v>0</v>
      </c>
      <c r="AJ194" s="799">
        <f>SUM($I192:AI193)/$F$192</f>
        <v>0</v>
      </c>
      <c r="AK194" s="799">
        <f>SUM($I192:AJ193)/$F$192</f>
        <v>0</v>
      </c>
      <c r="AL194" s="799">
        <f>SUM($I192:AK193)/$F$192</f>
        <v>0</v>
      </c>
      <c r="AM194" s="799">
        <f>SUM($I192:AL193)/$F$192</f>
        <v>0</v>
      </c>
      <c r="AN194" s="799">
        <f>SUM($I192:AM193)/$F$192</f>
        <v>0</v>
      </c>
    </row>
    <row r="195" spans="1:40" s="814" customFormat="1" x14ac:dyDescent="0.25">
      <c r="A195" s="761"/>
      <c r="B195" s="761"/>
      <c r="C195" s="761"/>
      <c r="D195" s="761"/>
      <c r="E195" s="765"/>
      <c r="F195" s="765"/>
      <c r="G195" s="765"/>
      <c r="H195" s="765"/>
      <c r="I195" s="765"/>
      <c r="J195" s="812"/>
      <c r="K195" s="765"/>
      <c r="L195" s="765"/>
      <c r="M195" s="765"/>
      <c r="N195" s="765"/>
      <c r="O195" s="765"/>
      <c r="P195" s="765"/>
      <c r="Q195" s="813"/>
      <c r="R195" s="765"/>
      <c r="S195" s="765"/>
      <c r="T195" s="765"/>
      <c r="U195" s="765"/>
      <c r="V195" s="765"/>
      <c r="W195" s="765"/>
      <c r="X195" s="765"/>
      <c r="Y195" s="765"/>
      <c r="Z195" s="765"/>
      <c r="AA195" s="765"/>
      <c r="AB195" s="765"/>
      <c r="AC195" s="765"/>
      <c r="AD195" s="765"/>
      <c r="AE195" s="765"/>
      <c r="AF195" s="765"/>
      <c r="AG195" s="765"/>
      <c r="AH195" s="765"/>
      <c r="AI195" s="765"/>
      <c r="AJ195" s="765"/>
      <c r="AK195" s="765"/>
      <c r="AL195" s="765"/>
      <c r="AM195" s="765"/>
      <c r="AN195" s="765"/>
    </row>
    <row r="196" spans="1:40" x14ac:dyDescent="0.25">
      <c r="A196" s="750"/>
      <c r="B196" s="751" t="s">
        <v>594</v>
      </c>
      <c r="C196" s="752"/>
      <c r="D196" s="752"/>
      <c r="E196" s="752"/>
      <c r="F196" s="752"/>
      <c r="G196" s="752"/>
      <c r="H196" s="752"/>
      <c r="I196" s="752"/>
    </row>
    <row r="197" spans="1:40" x14ac:dyDescent="0.25"/>
    <row r="198" spans="1:40" s="761" customFormat="1" x14ac:dyDescent="0.25">
      <c r="E198" s="787" t="s">
        <v>595</v>
      </c>
      <c r="F198" s="780"/>
      <c r="G198" s="763" t="s">
        <v>534</v>
      </c>
      <c r="J198" s="807">
        <f>J188-J147-J152</f>
        <v>0</v>
      </c>
      <c r="K198" s="761">
        <f>K188-K147-K152</f>
        <v>0</v>
      </c>
      <c r="L198" s="761">
        <f t="shared" ref="L198:AN198" si="42">L188-L147-L152</f>
        <v>0</v>
      </c>
      <c r="M198" s="761">
        <f t="shared" si="42"/>
        <v>0</v>
      </c>
      <c r="N198" s="761">
        <f t="shared" si="42"/>
        <v>0</v>
      </c>
      <c r="O198" s="761">
        <f t="shared" si="42"/>
        <v>0</v>
      </c>
      <c r="P198" s="761">
        <f t="shared" si="42"/>
        <v>0</v>
      </c>
      <c r="Q198" s="808">
        <f t="shared" si="42"/>
        <v>0</v>
      </c>
      <c r="R198" s="761">
        <f t="shared" si="42"/>
        <v>0</v>
      </c>
      <c r="S198" s="761">
        <f t="shared" si="42"/>
        <v>0</v>
      </c>
      <c r="T198" s="761">
        <f t="shared" si="42"/>
        <v>0</v>
      </c>
      <c r="U198" s="761">
        <f t="shared" si="42"/>
        <v>0</v>
      </c>
      <c r="V198" s="761">
        <f t="shared" si="42"/>
        <v>0</v>
      </c>
      <c r="W198" s="761">
        <f t="shared" si="42"/>
        <v>0</v>
      </c>
      <c r="X198" s="761">
        <f t="shared" si="42"/>
        <v>0</v>
      </c>
      <c r="Y198" s="761">
        <f t="shared" si="42"/>
        <v>0</v>
      </c>
      <c r="Z198" s="761">
        <f t="shared" si="42"/>
        <v>0</v>
      </c>
      <c r="AA198" s="761">
        <f t="shared" si="42"/>
        <v>0</v>
      </c>
      <c r="AB198" s="761">
        <f t="shared" si="42"/>
        <v>0</v>
      </c>
      <c r="AC198" s="761">
        <f t="shared" si="42"/>
        <v>0</v>
      </c>
      <c r="AD198" s="761">
        <f t="shared" si="42"/>
        <v>0</v>
      </c>
      <c r="AE198" s="761">
        <f t="shared" si="42"/>
        <v>0</v>
      </c>
      <c r="AF198" s="761">
        <f t="shared" si="42"/>
        <v>0</v>
      </c>
      <c r="AG198" s="761">
        <f t="shared" si="42"/>
        <v>0</v>
      </c>
      <c r="AH198" s="761">
        <f t="shared" si="42"/>
        <v>0</v>
      </c>
      <c r="AI198" s="761">
        <f t="shared" si="42"/>
        <v>0</v>
      </c>
      <c r="AJ198" s="761">
        <f t="shared" si="42"/>
        <v>0</v>
      </c>
      <c r="AK198" s="761">
        <f t="shared" si="42"/>
        <v>0</v>
      </c>
      <c r="AL198" s="761">
        <f t="shared" si="42"/>
        <v>0</v>
      </c>
      <c r="AM198" s="761">
        <f t="shared" si="42"/>
        <v>0</v>
      </c>
      <c r="AN198" s="761">
        <f t="shared" si="42"/>
        <v>0</v>
      </c>
    </row>
    <row r="199" spans="1:40" x14ac:dyDescent="0.25">
      <c r="E199" s="774" t="s">
        <v>596</v>
      </c>
      <c r="F199" s="766"/>
      <c r="G199" s="763" t="s">
        <v>534</v>
      </c>
      <c r="H199" s="815"/>
      <c r="I199" s="766"/>
      <c r="J199" s="768">
        <f t="shared" ref="J199:AN199" si="43">J198+J194-J131</f>
        <v>0</v>
      </c>
      <c r="K199" s="766">
        <f t="shared" si="43"/>
        <v>0</v>
      </c>
      <c r="L199" s="766">
        <f t="shared" si="43"/>
        <v>0</v>
      </c>
      <c r="M199" s="766">
        <f t="shared" si="43"/>
        <v>0</v>
      </c>
      <c r="N199" s="766">
        <f t="shared" si="43"/>
        <v>0</v>
      </c>
      <c r="O199" s="766">
        <f t="shared" si="43"/>
        <v>0</v>
      </c>
      <c r="P199" s="766">
        <f t="shared" si="43"/>
        <v>0</v>
      </c>
      <c r="Q199" s="769">
        <f t="shared" si="43"/>
        <v>0</v>
      </c>
      <c r="R199" s="766">
        <f t="shared" si="43"/>
        <v>0</v>
      </c>
      <c r="S199" s="766">
        <f t="shared" si="43"/>
        <v>0</v>
      </c>
      <c r="T199" s="766">
        <f t="shared" si="43"/>
        <v>0</v>
      </c>
      <c r="U199" s="766">
        <f t="shared" si="43"/>
        <v>0</v>
      </c>
      <c r="V199" s="766">
        <f t="shared" si="43"/>
        <v>0</v>
      </c>
      <c r="W199" s="766">
        <f t="shared" si="43"/>
        <v>0</v>
      </c>
      <c r="X199" s="766">
        <f t="shared" si="43"/>
        <v>0</v>
      </c>
      <c r="Y199" s="766">
        <f t="shared" si="43"/>
        <v>0</v>
      </c>
      <c r="Z199" s="766">
        <f t="shared" si="43"/>
        <v>0</v>
      </c>
      <c r="AA199" s="766">
        <f t="shared" si="43"/>
        <v>0</v>
      </c>
      <c r="AB199" s="766">
        <f t="shared" si="43"/>
        <v>0</v>
      </c>
      <c r="AC199" s="766">
        <f t="shared" si="43"/>
        <v>0</v>
      </c>
      <c r="AD199" s="766">
        <f t="shared" si="43"/>
        <v>0</v>
      </c>
      <c r="AE199" s="766">
        <f t="shared" si="43"/>
        <v>0</v>
      </c>
      <c r="AF199" s="766">
        <f t="shared" si="43"/>
        <v>0</v>
      </c>
      <c r="AG199" s="766">
        <f t="shared" si="43"/>
        <v>0</v>
      </c>
      <c r="AH199" s="766">
        <f t="shared" si="43"/>
        <v>0</v>
      </c>
      <c r="AI199" s="766">
        <f t="shared" si="43"/>
        <v>0</v>
      </c>
      <c r="AJ199" s="766">
        <f t="shared" si="43"/>
        <v>0</v>
      </c>
      <c r="AK199" s="766">
        <f t="shared" si="43"/>
        <v>0</v>
      </c>
      <c r="AL199" s="766">
        <f t="shared" si="43"/>
        <v>0</v>
      </c>
      <c r="AM199" s="766">
        <f t="shared" si="43"/>
        <v>0</v>
      </c>
      <c r="AN199" s="766">
        <f t="shared" si="43"/>
        <v>0</v>
      </c>
    </row>
    <row r="200" spans="1:40" x14ac:dyDescent="0.25">
      <c r="E200" s="774"/>
      <c r="F200" s="766"/>
      <c r="G200" s="766"/>
      <c r="H200" s="815"/>
      <c r="I200" s="766"/>
      <c r="J200" s="768"/>
      <c r="K200" s="766"/>
      <c r="L200" s="766"/>
      <c r="M200" s="766"/>
      <c r="N200" s="766"/>
      <c r="O200" s="766"/>
      <c r="P200" s="766"/>
      <c r="Q200" s="769"/>
      <c r="R200" s="766"/>
      <c r="S200" s="766"/>
      <c r="T200" s="766"/>
      <c r="U200" s="766"/>
      <c r="V200" s="766"/>
      <c r="W200" s="766"/>
      <c r="X200" s="766"/>
      <c r="Y200" s="766"/>
      <c r="Z200" s="766"/>
      <c r="AA200" s="766"/>
      <c r="AB200" s="766"/>
      <c r="AC200" s="766"/>
      <c r="AD200" s="766"/>
      <c r="AE200" s="766"/>
      <c r="AF200" s="766"/>
      <c r="AG200" s="766"/>
      <c r="AH200" s="766"/>
      <c r="AI200" s="766"/>
      <c r="AJ200" s="766"/>
      <c r="AK200" s="766"/>
      <c r="AL200" s="766"/>
      <c r="AM200" s="766"/>
      <c r="AN200" s="766"/>
    </row>
    <row r="201" spans="1:40" x14ac:dyDescent="0.25">
      <c r="E201" s="774" t="s">
        <v>597</v>
      </c>
      <c r="F201" s="766"/>
      <c r="G201" s="763" t="s">
        <v>534</v>
      </c>
      <c r="H201" s="815"/>
      <c r="I201" s="766"/>
      <c r="J201" s="734">
        <f>I205</f>
        <v>0</v>
      </c>
      <c r="K201" s="731">
        <f t="shared" ref="K201:AN201" si="44">J205</f>
        <v>0</v>
      </c>
      <c r="L201" s="731">
        <f t="shared" si="44"/>
        <v>0</v>
      </c>
      <c r="M201" s="731">
        <f t="shared" si="44"/>
        <v>0</v>
      </c>
      <c r="N201" s="731">
        <f t="shared" si="44"/>
        <v>0</v>
      </c>
      <c r="O201" s="731">
        <f t="shared" si="44"/>
        <v>0</v>
      </c>
      <c r="P201" s="731">
        <f t="shared" si="44"/>
        <v>0</v>
      </c>
      <c r="Q201" s="735">
        <f t="shared" si="44"/>
        <v>0</v>
      </c>
      <c r="R201" s="731">
        <f t="shared" si="44"/>
        <v>0</v>
      </c>
      <c r="S201" s="731">
        <f t="shared" si="44"/>
        <v>0</v>
      </c>
      <c r="T201" s="731">
        <f t="shared" si="44"/>
        <v>0</v>
      </c>
      <c r="U201" s="731">
        <f t="shared" si="44"/>
        <v>0</v>
      </c>
      <c r="V201" s="731">
        <f t="shared" si="44"/>
        <v>0</v>
      </c>
      <c r="W201" s="731">
        <f t="shared" si="44"/>
        <v>0</v>
      </c>
      <c r="X201" s="731">
        <f t="shared" si="44"/>
        <v>0</v>
      </c>
      <c r="Y201" s="731">
        <f t="shared" si="44"/>
        <v>0</v>
      </c>
      <c r="Z201" s="731">
        <f t="shared" si="44"/>
        <v>0</v>
      </c>
      <c r="AA201" s="731">
        <f t="shared" si="44"/>
        <v>0</v>
      </c>
      <c r="AB201" s="731">
        <f t="shared" si="44"/>
        <v>0</v>
      </c>
      <c r="AC201" s="731">
        <f t="shared" si="44"/>
        <v>0</v>
      </c>
      <c r="AD201" s="731">
        <f t="shared" si="44"/>
        <v>0</v>
      </c>
      <c r="AE201" s="731">
        <f t="shared" si="44"/>
        <v>0</v>
      </c>
      <c r="AF201" s="731">
        <f t="shared" si="44"/>
        <v>0</v>
      </c>
      <c r="AG201" s="731">
        <f t="shared" si="44"/>
        <v>0</v>
      </c>
      <c r="AH201" s="731">
        <f t="shared" si="44"/>
        <v>0</v>
      </c>
      <c r="AI201" s="731">
        <f t="shared" si="44"/>
        <v>0</v>
      </c>
      <c r="AJ201" s="731">
        <f t="shared" si="44"/>
        <v>0</v>
      </c>
      <c r="AK201" s="731">
        <f t="shared" si="44"/>
        <v>0</v>
      </c>
      <c r="AL201" s="731">
        <f t="shared" si="44"/>
        <v>0</v>
      </c>
      <c r="AM201" s="731">
        <f t="shared" si="44"/>
        <v>0</v>
      </c>
      <c r="AN201" s="731">
        <f t="shared" si="44"/>
        <v>0</v>
      </c>
    </row>
    <row r="202" spans="1:40" x14ac:dyDescent="0.25">
      <c r="E202" s="774" t="s">
        <v>598</v>
      </c>
      <c r="F202" s="766"/>
      <c r="G202" s="763" t="s">
        <v>534</v>
      </c>
      <c r="H202" s="815"/>
      <c r="I202" s="766"/>
      <c r="J202" s="768">
        <f t="shared" ref="J202:AN202" si="45">(J199&lt;0)*J199</f>
        <v>0</v>
      </c>
      <c r="K202" s="766">
        <f t="shared" si="45"/>
        <v>0</v>
      </c>
      <c r="L202" s="766">
        <f t="shared" si="45"/>
        <v>0</v>
      </c>
      <c r="M202" s="766">
        <f t="shared" si="45"/>
        <v>0</v>
      </c>
      <c r="N202" s="766">
        <f t="shared" si="45"/>
        <v>0</v>
      </c>
      <c r="O202" s="766">
        <f t="shared" si="45"/>
        <v>0</v>
      </c>
      <c r="P202" s="766">
        <f t="shared" si="45"/>
        <v>0</v>
      </c>
      <c r="Q202" s="769">
        <f t="shared" si="45"/>
        <v>0</v>
      </c>
      <c r="R202" s="766">
        <f t="shared" si="45"/>
        <v>0</v>
      </c>
      <c r="S202" s="766">
        <f t="shared" si="45"/>
        <v>0</v>
      </c>
      <c r="T202" s="766">
        <f t="shared" si="45"/>
        <v>0</v>
      </c>
      <c r="U202" s="766">
        <f t="shared" si="45"/>
        <v>0</v>
      </c>
      <c r="V202" s="766">
        <f t="shared" si="45"/>
        <v>0</v>
      </c>
      <c r="W202" s="766">
        <f t="shared" si="45"/>
        <v>0</v>
      </c>
      <c r="X202" s="766">
        <f t="shared" si="45"/>
        <v>0</v>
      </c>
      <c r="Y202" s="766">
        <f t="shared" si="45"/>
        <v>0</v>
      </c>
      <c r="Z202" s="766">
        <f t="shared" si="45"/>
        <v>0</v>
      </c>
      <c r="AA202" s="766">
        <f t="shared" si="45"/>
        <v>0</v>
      </c>
      <c r="AB202" s="766">
        <f t="shared" si="45"/>
        <v>0</v>
      </c>
      <c r="AC202" s="766">
        <f t="shared" si="45"/>
        <v>0</v>
      </c>
      <c r="AD202" s="766">
        <f t="shared" si="45"/>
        <v>0</v>
      </c>
      <c r="AE202" s="766">
        <f t="shared" si="45"/>
        <v>0</v>
      </c>
      <c r="AF202" s="766">
        <f t="shared" si="45"/>
        <v>0</v>
      </c>
      <c r="AG202" s="766">
        <f t="shared" si="45"/>
        <v>0</v>
      </c>
      <c r="AH202" s="766">
        <f t="shared" si="45"/>
        <v>0</v>
      </c>
      <c r="AI202" s="766">
        <f t="shared" si="45"/>
        <v>0</v>
      </c>
      <c r="AJ202" s="766">
        <f t="shared" si="45"/>
        <v>0</v>
      </c>
      <c r="AK202" s="766">
        <f t="shared" si="45"/>
        <v>0</v>
      </c>
      <c r="AL202" s="766">
        <f t="shared" si="45"/>
        <v>0</v>
      </c>
      <c r="AM202" s="766">
        <f t="shared" si="45"/>
        <v>0</v>
      </c>
      <c r="AN202" s="766">
        <f t="shared" si="45"/>
        <v>0</v>
      </c>
    </row>
    <row r="203" spans="1:40" x14ac:dyDescent="0.25">
      <c r="E203" s="774" t="s">
        <v>599</v>
      </c>
      <c r="F203" s="766"/>
      <c r="G203" s="763" t="s">
        <v>534</v>
      </c>
      <c r="H203" s="815"/>
      <c r="I203" s="766"/>
      <c r="J203" s="768">
        <f>-IF(AND((I199)&gt;0,J199&lt;0),MIN(-J199,(I199&lt;10^6)*I199+(I199&gt;=10^6)*(10^6+0.5*(I199-10^6))+I204),0)</f>
        <v>0</v>
      </c>
      <c r="K203" s="766">
        <f t="shared" ref="K203:AN203" si="46">-IF(AND((J199)&gt;0,K199&lt;0),MIN(-K199,(J199&lt;10^6)*J199+(J199&gt;=10^6)*(10^6+0.5*(J199-10^6))+J204),0)</f>
        <v>0</v>
      </c>
      <c r="L203" s="766">
        <f t="shared" si="46"/>
        <v>0</v>
      </c>
      <c r="M203" s="766">
        <f t="shared" si="46"/>
        <v>0</v>
      </c>
      <c r="N203" s="766">
        <f t="shared" si="46"/>
        <v>0</v>
      </c>
      <c r="O203" s="766">
        <f t="shared" si="46"/>
        <v>0</v>
      </c>
      <c r="P203" s="766">
        <f t="shared" si="46"/>
        <v>0</v>
      </c>
      <c r="Q203" s="769">
        <f t="shared" si="46"/>
        <v>0</v>
      </c>
      <c r="R203" s="766">
        <f t="shared" si="46"/>
        <v>0</v>
      </c>
      <c r="S203" s="766">
        <f t="shared" si="46"/>
        <v>0</v>
      </c>
      <c r="T203" s="766">
        <f t="shared" si="46"/>
        <v>0</v>
      </c>
      <c r="U203" s="766">
        <f t="shared" si="46"/>
        <v>0</v>
      </c>
      <c r="V203" s="766">
        <f t="shared" si="46"/>
        <v>0</v>
      </c>
      <c r="W203" s="766">
        <f t="shared" si="46"/>
        <v>0</v>
      </c>
      <c r="X203" s="766">
        <f t="shared" si="46"/>
        <v>0</v>
      </c>
      <c r="Y203" s="766">
        <f t="shared" si="46"/>
        <v>0</v>
      </c>
      <c r="Z203" s="766">
        <f t="shared" si="46"/>
        <v>0</v>
      </c>
      <c r="AA203" s="766">
        <f t="shared" si="46"/>
        <v>0</v>
      </c>
      <c r="AB203" s="766">
        <f t="shared" si="46"/>
        <v>0</v>
      </c>
      <c r="AC203" s="766">
        <f t="shared" si="46"/>
        <v>0</v>
      </c>
      <c r="AD203" s="766">
        <f t="shared" si="46"/>
        <v>0</v>
      </c>
      <c r="AE203" s="766">
        <f t="shared" si="46"/>
        <v>0</v>
      </c>
      <c r="AF203" s="766">
        <f t="shared" si="46"/>
        <v>0</v>
      </c>
      <c r="AG203" s="766">
        <f t="shared" si="46"/>
        <v>0</v>
      </c>
      <c r="AH203" s="766">
        <f t="shared" si="46"/>
        <v>0</v>
      </c>
      <c r="AI203" s="766">
        <f t="shared" si="46"/>
        <v>0</v>
      </c>
      <c r="AJ203" s="766">
        <f t="shared" si="46"/>
        <v>0</v>
      </c>
      <c r="AK203" s="766">
        <f t="shared" si="46"/>
        <v>0</v>
      </c>
      <c r="AL203" s="766">
        <f t="shared" si="46"/>
        <v>0</v>
      </c>
      <c r="AM203" s="766">
        <f t="shared" si="46"/>
        <v>0</v>
      </c>
      <c r="AN203" s="766">
        <f t="shared" si="46"/>
        <v>0</v>
      </c>
    </row>
    <row r="204" spans="1:40" x14ac:dyDescent="0.25">
      <c r="E204" s="774" t="s">
        <v>600</v>
      </c>
      <c r="F204" s="766"/>
      <c r="G204" s="763" t="s">
        <v>534</v>
      </c>
      <c r="H204" s="815"/>
      <c r="I204" s="766"/>
      <c r="J204" s="768">
        <f t="shared" ref="J204:AN204" si="47">-(J199&gt;0)*MIN((J199&lt;10^6)*J199+(J199&gt;=10^6)*(10^6+0.5*(J199-10^6)),-SUM(J201:J202)+J203)</f>
        <v>0</v>
      </c>
      <c r="K204" s="766">
        <f t="shared" si="47"/>
        <v>0</v>
      </c>
      <c r="L204" s="766">
        <f t="shared" si="47"/>
        <v>0</v>
      </c>
      <c r="M204" s="766">
        <f t="shared" si="47"/>
        <v>0</v>
      </c>
      <c r="N204" s="766">
        <f t="shared" si="47"/>
        <v>0</v>
      </c>
      <c r="O204" s="766">
        <f t="shared" si="47"/>
        <v>0</v>
      </c>
      <c r="P204" s="766">
        <f t="shared" si="47"/>
        <v>0</v>
      </c>
      <c r="Q204" s="769">
        <f t="shared" si="47"/>
        <v>0</v>
      </c>
      <c r="R204" s="766">
        <f t="shared" si="47"/>
        <v>0</v>
      </c>
      <c r="S204" s="766">
        <f t="shared" si="47"/>
        <v>0</v>
      </c>
      <c r="T204" s="766">
        <f t="shared" si="47"/>
        <v>0</v>
      </c>
      <c r="U204" s="766">
        <f t="shared" si="47"/>
        <v>0</v>
      </c>
      <c r="V204" s="766">
        <f t="shared" si="47"/>
        <v>0</v>
      </c>
      <c r="W204" s="766">
        <f t="shared" si="47"/>
        <v>0</v>
      </c>
      <c r="X204" s="766">
        <f t="shared" si="47"/>
        <v>0</v>
      </c>
      <c r="Y204" s="766">
        <f t="shared" si="47"/>
        <v>0</v>
      </c>
      <c r="Z204" s="766">
        <f t="shared" si="47"/>
        <v>0</v>
      </c>
      <c r="AA204" s="766">
        <f t="shared" si="47"/>
        <v>0</v>
      </c>
      <c r="AB204" s="766">
        <f t="shared" si="47"/>
        <v>0</v>
      </c>
      <c r="AC204" s="766">
        <f t="shared" si="47"/>
        <v>0</v>
      </c>
      <c r="AD204" s="766">
        <f t="shared" si="47"/>
        <v>0</v>
      </c>
      <c r="AE204" s="766">
        <f t="shared" si="47"/>
        <v>0</v>
      </c>
      <c r="AF204" s="766">
        <f t="shared" si="47"/>
        <v>0</v>
      </c>
      <c r="AG204" s="766">
        <f t="shared" si="47"/>
        <v>0</v>
      </c>
      <c r="AH204" s="766">
        <f t="shared" si="47"/>
        <v>0</v>
      </c>
      <c r="AI204" s="766">
        <f t="shared" si="47"/>
        <v>0</v>
      </c>
      <c r="AJ204" s="766">
        <f t="shared" si="47"/>
        <v>0</v>
      </c>
      <c r="AK204" s="766">
        <f t="shared" si="47"/>
        <v>0</v>
      </c>
      <c r="AL204" s="766">
        <f t="shared" si="47"/>
        <v>0</v>
      </c>
      <c r="AM204" s="766">
        <f t="shared" si="47"/>
        <v>0</v>
      </c>
      <c r="AN204" s="766">
        <f t="shared" si="47"/>
        <v>0</v>
      </c>
    </row>
    <row r="205" spans="1:40" x14ac:dyDescent="0.25">
      <c r="E205" s="774" t="s">
        <v>601</v>
      </c>
      <c r="F205" s="766"/>
      <c r="G205" s="763" t="s">
        <v>534</v>
      </c>
      <c r="H205" s="815"/>
      <c r="I205" s="766"/>
      <c r="J205" s="768">
        <f t="shared" ref="J205:AN205" si="48">J201+J202-J203-J204</f>
        <v>0</v>
      </c>
      <c r="K205" s="766">
        <f t="shared" si="48"/>
        <v>0</v>
      </c>
      <c r="L205" s="766">
        <f t="shared" si="48"/>
        <v>0</v>
      </c>
      <c r="M205" s="766">
        <f t="shared" si="48"/>
        <v>0</v>
      </c>
      <c r="N205" s="766">
        <f t="shared" si="48"/>
        <v>0</v>
      </c>
      <c r="O205" s="766">
        <f t="shared" si="48"/>
        <v>0</v>
      </c>
      <c r="P205" s="766">
        <f t="shared" si="48"/>
        <v>0</v>
      </c>
      <c r="Q205" s="769">
        <f t="shared" si="48"/>
        <v>0</v>
      </c>
      <c r="R205" s="766">
        <f t="shared" si="48"/>
        <v>0</v>
      </c>
      <c r="S205" s="766">
        <f t="shared" si="48"/>
        <v>0</v>
      </c>
      <c r="T205" s="766">
        <f t="shared" si="48"/>
        <v>0</v>
      </c>
      <c r="U205" s="766">
        <f t="shared" si="48"/>
        <v>0</v>
      </c>
      <c r="V205" s="766">
        <f t="shared" si="48"/>
        <v>0</v>
      </c>
      <c r="W205" s="766">
        <f t="shared" si="48"/>
        <v>0</v>
      </c>
      <c r="X205" s="766">
        <f t="shared" si="48"/>
        <v>0</v>
      </c>
      <c r="Y205" s="766">
        <f t="shared" si="48"/>
        <v>0</v>
      </c>
      <c r="Z205" s="766">
        <f t="shared" si="48"/>
        <v>0</v>
      </c>
      <c r="AA205" s="766">
        <f t="shared" si="48"/>
        <v>0</v>
      </c>
      <c r="AB205" s="766">
        <f t="shared" si="48"/>
        <v>0</v>
      </c>
      <c r="AC205" s="766">
        <f t="shared" si="48"/>
        <v>0</v>
      </c>
      <c r="AD205" s="766">
        <f t="shared" si="48"/>
        <v>0</v>
      </c>
      <c r="AE205" s="766">
        <f t="shared" si="48"/>
        <v>0</v>
      </c>
      <c r="AF205" s="766">
        <f t="shared" si="48"/>
        <v>0</v>
      </c>
      <c r="AG205" s="766">
        <f t="shared" si="48"/>
        <v>0</v>
      </c>
      <c r="AH205" s="766">
        <f t="shared" si="48"/>
        <v>0</v>
      </c>
      <c r="AI205" s="766">
        <f t="shared" si="48"/>
        <v>0</v>
      </c>
      <c r="AJ205" s="766">
        <f t="shared" si="48"/>
        <v>0</v>
      </c>
      <c r="AK205" s="766">
        <f t="shared" si="48"/>
        <v>0</v>
      </c>
      <c r="AL205" s="766">
        <f t="shared" si="48"/>
        <v>0</v>
      </c>
      <c r="AM205" s="766">
        <f t="shared" si="48"/>
        <v>0</v>
      </c>
      <c r="AN205" s="766">
        <f t="shared" si="48"/>
        <v>0</v>
      </c>
    </row>
    <row r="206" spans="1:40" x14ac:dyDescent="0.25">
      <c r="E206" s="774"/>
      <c r="F206" s="766"/>
      <c r="G206" s="766"/>
      <c r="H206" s="815"/>
      <c r="I206" s="766"/>
      <c r="J206" s="768"/>
      <c r="K206" s="766"/>
      <c r="L206" s="766"/>
      <c r="M206" s="766"/>
      <c r="N206" s="766"/>
      <c r="O206" s="766"/>
      <c r="P206" s="766"/>
      <c r="Q206" s="769"/>
      <c r="R206" s="766"/>
      <c r="S206" s="766"/>
      <c r="T206" s="766"/>
      <c r="U206" s="766"/>
      <c r="V206" s="766"/>
      <c r="W206" s="766"/>
      <c r="X206" s="766"/>
      <c r="Y206" s="766"/>
      <c r="Z206" s="766"/>
      <c r="AA206" s="766"/>
      <c r="AB206" s="766"/>
      <c r="AC206" s="766"/>
      <c r="AD206" s="766"/>
      <c r="AE206" s="766"/>
      <c r="AF206" s="766"/>
      <c r="AG206" s="766"/>
      <c r="AH206" s="766"/>
      <c r="AI206" s="766"/>
      <c r="AJ206" s="766"/>
      <c r="AK206" s="766"/>
      <c r="AL206" s="766"/>
      <c r="AM206" s="766"/>
      <c r="AN206" s="766"/>
    </row>
    <row r="207" spans="1:40" x14ac:dyDescent="0.25">
      <c r="E207" s="774" t="s">
        <v>602</v>
      </c>
      <c r="F207" s="766"/>
      <c r="G207" s="763" t="s">
        <v>534</v>
      </c>
      <c r="H207" s="815"/>
      <c r="I207" s="766"/>
      <c r="J207" s="768">
        <f t="shared" ref="J207:AN207" si="49">J199+J204</f>
        <v>0</v>
      </c>
      <c r="K207" s="766">
        <f>K199+K204</f>
        <v>0</v>
      </c>
      <c r="L207" s="766">
        <f t="shared" si="49"/>
        <v>0</v>
      </c>
      <c r="M207" s="766">
        <f t="shared" si="49"/>
        <v>0</v>
      </c>
      <c r="N207" s="766">
        <f t="shared" si="49"/>
        <v>0</v>
      </c>
      <c r="O207" s="766">
        <f t="shared" si="49"/>
        <v>0</v>
      </c>
      <c r="P207" s="766">
        <f t="shared" si="49"/>
        <v>0</v>
      </c>
      <c r="Q207" s="769">
        <f t="shared" si="49"/>
        <v>0</v>
      </c>
      <c r="R207" s="766">
        <f t="shared" si="49"/>
        <v>0</v>
      </c>
      <c r="S207" s="766">
        <f t="shared" si="49"/>
        <v>0</v>
      </c>
      <c r="T207" s="766">
        <f t="shared" si="49"/>
        <v>0</v>
      </c>
      <c r="U207" s="766">
        <f t="shared" si="49"/>
        <v>0</v>
      </c>
      <c r="V207" s="766">
        <f t="shared" si="49"/>
        <v>0</v>
      </c>
      <c r="W207" s="766">
        <f t="shared" si="49"/>
        <v>0</v>
      </c>
      <c r="X207" s="766">
        <f t="shared" si="49"/>
        <v>0</v>
      </c>
      <c r="Y207" s="766">
        <f t="shared" si="49"/>
        <v>0</v>
      </c>
      <c r="Z207" s="766">
        <f t="shared" si="49"/>
        <v>0</v>
      </c>
      <c r="AA207" s="766">
        <f t="shared" si="49"/>
        <v>0</v>
      </c>
      <c r="AB207" s="766">
        <f t="shared" si="49"/>
        <v>0</v>
      </c>
      <c r="AC207" s="766">
        <f t="shared" si="49"/>
        <v>0</v>
      </c>
      <c r="AD207" s="766">
        <f t="shared" si="49"/>
        <v>0</v>
      </c>
      <c r="AE207" s="766">
        <f t="shared" si="49"/>
        <v>0</v>
      </c>
      <c r="AF207" s="766">
        <f t="shared" si="49"/>
        <v>0</v>
      </c>
      <c r="AG207" s="766">
        <f t="shared" si="49"/>
        <v>0</v>
      </c>
      <c r="AH207" s="766">
        <f t="shared" si="49"/>
        <v>0</v>
      </c>
      <c r="AI207" s="766">
        <f t="shared" si="49"/>
        <v>0</v>
      </c>
      <c r="AJ207" s="766">
        <f t="shared" si="49"/>
        <v>0</v>
      </c>
      <c r="AK207" s="766">
        <f t="shared" si="49"/>
        <v>0</v>
      </c>
      <c r="AL207" s="766">
        <f t="shared" si="49"/>
        <v>0</v>
      </c>
      <c r="AM207" s="766">
        <f t="shared" si="49"/>
        <v>0</v>
      </c>
      <c r="AN207" s="766">
        <f t="shared" si="49"/>
        <v>0</v>
      </c>
    </row>
    <row r="208" spans="1:40" x14ac:dyDescent="0.25">
      <c r="E208" s="774" t="s">
        <v>603</v>
      </c>
      <c r="F208" s="766">
        <f>'ORT uitgangspunten'!$G$22</f>
        <v>200000</v>
      </c>
      <c r="G208" s="763" t="s">
        <v>534</v>
      </c>
      <c r="H208" s="815"/>
      <c r="I208" s="766"/>
      <c r="J208" s="785">
        <f t="shared" ref="J208:AN208" si="50">(J207&gt;0)*MIN(J207,$F$208)</f>
        <v>0</v>
      </c>
      <c r="K208" s="774">
        <f>(K207&gt;0)*MIN(K207,$F$208)</f>
        <v>0</v>
      </c>
      <c r="L208" s="774">
        <f t="shared" si="50"/>
        <v>0</v>
      </c>
      <c r="M208" s="774">
        <f>(M207&gt;0)*MIN(M207,$F$208)</f>
        <v>0</v>
      </c>
      <c r="N208" s="774">
        <f t="shared" si="50"/>
        <v>0</v>
      </c>
      <c r="O208" s="774">
        <f t="shared" si="50"/>
        <v>0</v>
      </c>
      <c r="P208" s="774">
        <f t="shared" si="50"/>
        <v>0</v>
      </c>
      <c r="Q208" s="786">
        <f t="shared" si="50"/>
        <v>0</v>
      </c>
      <c r="R208" s="774">
        <f t="shared" si="50"/>
        <v>0</v>
      </c>
      <c r="S208" s="774">
        <f t="shared" si="50"/>
        <v>0</v>
      </c>
      <c r="T208" s="774">
        <f t="shared" si="50"/>
        <v>0</v>
      </c>
      <c r="U208" s="774">
        <f t="shared" si="50"/>
        <v>0</v>
      </c>
      <c r="V208" s="774">
        <f t="shared" si="50"/>
        <v>0</v>
      </c>
      <c r="W208" s="774">
        <f t="shared" si="50"/>
        <v>0</v>
      </c>
      <c r="X208" s="774">
        <f t="shared" si="50"/>
        <v>0</v>
      </c>
      <c r="Y208" s="774">
        <f t="shared" si="50"/>
        <v>0</v>
      </c>
      <c r="Z208" s="774">
        <f t="shared" si="50"/>
        <v>0</v>
      </c>
      <c r="AA208" s="774">
        <f t="shared" si="50"/>
        <v>0</v>
      </c>
      <c r="AB208" s="774">
        <f t="shared" si="50"/>
        <v>0</v>
      </c>
      <c r="AC208" s="774">
        <f t="shared" si="50"/>
        <v>0</v>
      </c>
      <c r="AD208" s="774">
        <f t="shared" si="50"/>
        <v>0</v>
      </c>
      <c r="AE208" s="774">
        <f t="shared" si="50"/>
        <v>0</v>
      </c>
      <c r="AF208" s="774">
        <f t="shared" si="50"/>
        <v>0</v>
      </c>
      <c r="AG208" s="774">
        <f t="shared" si="50"/>
        <v>0</v>
      </c>
      <c r="AH208" s="774">
        <f t="shared" si="50"/>
        <v>0</v>
      </c>
      <c r="AI208" s="774">
        <f t="shared" si="50"/>
        <v>0</v>
      </c>
      <c r="AJ208" s="774">
        <f t="shared" si="50"/>
        <v>0</v>
      </c>
      <c r="AK208" s="774">
        <f t="shared" si="50"/>
        <v>0</v>
      </c>
      <c r="AL208" s="774">
        <f t="shared" si="50"/>
        <v>0</v>
      </c>
      <c r="AM208" s="774">
        <f t="shared" si="50"/>
        <v>0</v>
      </c>
      <c r="AN208" s="774">
        <f t="shared" si="50"/>
        <v>0</v>
      </c>
    </row>
    <row r="209" spans="1:40" x14ac:dyDescent="0.25">
      <c r="E209" s="774" t="s">
        <v>604</v>
      </c>
      <c r="F209" s="766"/>
      <c r="G209" s="763" t="s">
        <v>534</v>
      </c>
      <c r="H209" s="815"/>
      <c r="I209" s="766"/>
      <c r="J209" s="785">
        <f t="shared" ref="J209:AN209" si="51">MAX(J207-J208,0)</f>
        <v>0</v>
      </c>
      <c r="K209" s="774">
        <f t="shared" si="51"/>
        <v>0</v>
      </c>
      <c r="L209" s="774">
        <f t="shared" si="51"/>
        <v>0</v>
      </c>
      <c r="M209" s="774">
        <f t="shared" si="51"/>
        <v>0</v>
      </c>
      <c r="N209" s="774">
        <f>MAX(N207-N208,0)</f>
        <v>0</v>
      </c>
      <c r="O209" s="774">
        <f t="shared" si="51"/>
        <v>0</v>
      </c>
      <c r="P209" s="774">
        <f t="shared" si="51"/>
        <v>0</v>
      </c>
      <c r="Q209" s="786">
        <f t="shared" si="51"/>
        <v>0</v>
      </c>
      <c r="R209" s="774">
        <f t="shared" si="51"/>
        <v>0</v>
      </c>
      <c r="S209" s="774">
        <f t="shared" si="51"/>
        <v>0</v>
      </c>
      <c r="T209" s="774">
        <f t="shared" si="51"/>
        <v>0</v>
      </c>
      <c r="U209" s="774">
        <f t="shared" si="51"/>
        <v>0</v>
      </c>
      <c r="V209" s="774">
        <f t="shared" si="51"/>
        <v>0</v>
      </c>
      <c r="W209" s="774">
        <f t="shared" si="51"/>
        <v>0</v>
      </c>
      <c r="X209" s="774">
        <f t="shared" si="51"/>
        <v>0</v>
      </c>
      <c r="Y209" s="774">
        <f t="shared" si="51"/>
        <v>0</v>
      </c>
      <c r="Z209" s="774">
        <f t="shared" si="51"/>
        <v>0</v>
      </c>
      <c r="AA209" s="774">
        <f t="shared" si="51"/>
        <v>0</v>
      </c>
      <c r="AB209" s="774">
        <f t="shared" si="51"/>
        <v>0</v>
      </c>
      <c r="AC209" s="774">
        <f t="shared" si="51"/>
        <v>0</v>
      </c>
      <c r="AD209" s="774">
        <f t="shared" si="51"/>
        <v>0</v>
      </c>
      <c r="AE209" s="774">
        <f t="shared" si="51"/>
        <v>0</v>
      </c>
      <c r="AF209" s="774">
        <f t="shared" si="51"/>
        <v>0</v>
      </c>
      <c r="AG209" s="774">
        <f t="shared" si="51"/>
        <v>0</v>
      </c>
      <c r="AH209" s="774">
        <f t="shared" si="51"/>
        <v>0</v>
      </c>
      <c r="AI209" s="774">
        <f t="shared" si="51"/>
        <v>0</v>
      </c>
      <c r="AJ209" s="774">
        <f t="shared" si="51"/>
        <v>0</v>
      </c>
      <c r="AK209" s="774">
        <f t="shared" si="51"/>
        <v>0</v>
      </c>
      <c r="AL209" s="774">
        <f t="shared" si="51"/>
        <v>0</v>
      </c>
      <c r="AM209" s="774">
        <f t="shared" si="51"/>
        <v>0</v>
      </c>
      <c r="AN209" s="774">
        <f t="shared" si="51"/>
        <v>0</v>
      </c>
    </row>
    <row r="210" spans="1:40" x14ac:dyDescent="0.25">
      <c r="E210" s="774"/>
      <c r="F210" s="766"/>
      <c r="G210" s="766"/>
      <c r="H210" s="815"/>
      <c r="I210" s="766"/>
      <c r="J210" s="768"/>
      <c r="K210" s="766"/>
      <c r="L210" s="766"/>
      <c r="M210" s="766"/>
      <c r="N210" s="766"/>
      <c r="O210" s="766"/>
      <c r="P210" s="766"/>
      <c r="Q210" s="769"/>
      <c r="R210" s="766"/>
      <c r="S210" s="766"/>
      <c r="T210" s="766"/>
      <c r="U210" s="766"/>
      <c r="V210" s="766"/>
      <c r="W210" s="766"/>
      <c r="X210" s="766"/>
      <c r="Y210" s="766"/>
      <c r="Z210" s="766"/>
      <c r="AA210" s="766"/>
      <c r="AB210" s="766"/>
      <c r="AC210" s="766"/>
      <c r="AD210" s="766"/>
      <c r="AE210" s="766"/>
      <c r="AF210" s="766"/>
      <c r="AG210" s="766"/>
      <c r="AH210" s="766"/>
      <c r="AI210" s="766"/>
      <c r="AJ210" s="766"/>
      <c r="AK210" s="766"/>
      <c r="AL210" s="766"/>
      <c r="AM210" s="766"/>
      <c r="AN210" s="766"/>
    </row>
    <row r="211" spans="1:40" x14ac:dyDescent="0.25">
      <c r="E211" s="774" t="s">
        <v>605</v>
      </c>
      <c r="F211" s="816">
        <f>'ORT uitgangspunten'!G20</f>
        <v>0.19</v>
      </c>
      <c r="G211" s="766"/>
      <c r="H211" s="815"/>
      <c r="I211" s="766"/>
      <c r="J211" s="785">
        <f t="shared" ref="J211:AN211" si="52">J208 * $F211</f>
        <v>0</v>
      </c>
      <c r="K211" s="774">
        <f>K208 * $F211</f>
        <v>0</v>
      </c>
      <c r="L211" s="774">
        <f t="shared" si="52"/>
        <v>0</v>
      </c>
      <c r="M211" s="774">
        <f t="shared" si="52"/>
        <v>0</v>
      </c>
      <c r="N211" s="774">
        <f>N208 * $F211</f>
        <v>0</v>
      </c>
      <c r="O211" s="774">
        <f t="shared" si="52"/>
        <v>0</v>
      </c>
      <c r="P211" s="774">
        <f>P208 * $F211</f>
        <v>0</v>
      </c>
      <c r="Q211" s="786">
        <f t="shared" si="52"/>
        <v>0</v>
      </c>
      <c r="R211" s="774">
        <f t="shared" si="52"/>
        <v>0</v>
      </c>
      <c r="S211" s="774">
        <f t="shared" si="52"/>
        <v>0</v>
      </c>
      <c r="T211" s="774">
        <f t="shared" si="52"/>
        <v>0</v>
      </c>
      <c r="U211" s="774">
        <f t="shared" si="52"/>
        <v>0</v>
      </c>
      <c r="V211" s="774">
        <f t="shared" si="52"/>
        <v>0</v>
      </c>
      <c r="W211" s="774">
        <f t="shared" si="52"/>
        <v>0</v>
      </c>
      <c r="X211" s="774">
        <f t="shared" si="52"/>
        <v>0</v>
      </c>
      <c r="Y211" s="774">
        <f t="shared" si="52"/>
        <v>0</v>
      </c>
      <c r="Z211" s="774">
        <f t="shared" si="52"/>
        <v>0</v>
      </c>
      <c r="AA211" s="774">
        <f t="shared" si="52"/>
        <v>0</v>
      </c>
      <c r="AB211" s="774">
        <f t="shared" si="52"/>
        <v>0</v>
      </c>
      <c r="AC211" s="774">
        <f t="shared" si="52"/>
        <v>0</v>
      </c>
      <c r="AD211" s="774">
        <f t="shared" si="52"/>
        <v>0</v>
      </c>
      <c r="AE211" s="774">
        <f t="shared" si="52"/>
        <v>0</v>
      </c>
      <c r="AF211" s="774">
        <f t="shared" si="52"/>
        <v>0</v>
      </c>
      <c r="AG211" s="774">
        <f t="shared" si="52"/>
        <v>0</v>
      </c>
      <c r="AH211" s="774">
        <f t="shared" si="52"/>
        <v>0</v>
      </c>
      <c r="AI211" s="774">
        <f t="shared" si="52"/>
        <v>0</v>
      </c>
      <c r="AJ211" s="774">
        <f t="shared" si="52"/>
        <v>0</v>
      </c>
      <c r="AK211" s="774">
        <f t="shared" si="52"/>
        <v>0</v>
      </c>
      <c r="AL211" s="774">
        <f t="shared" si="52"/>
        <v>0</v>
      </c>
      <c r="AM211" s="774">
        <f t="shared" si="52"/>
        <v>0</v>
      </c>
      <c r="AN211" s="774">
        <f t="shared" si="52"/>
        <v>0</v>
      </c>
    </row>
    <row r="212" spans="1:40" x14ac:dyDescent="0.25">
      <c r="E212" s="774" t="s">
        <v>606</v>
      </c>
      <c r="F212" s="816">
        <f>'ORT uitgangspunten'!G21</f>
        <v>0.25800000000000001</v>
      </c>
      <c r="G212" s="766"/>
      <c r="H212" s="815"/>
      <c r="I212" s="766"/>
      <c r="J212" s="785">
        <f t="shared" ref="J212:AN212" si="53">J209 * $F212</f>
        <v>0</v>
      </c>
      <c r="K212" s="774">
        <f>K209 * $F212</f>
        <v>0</v>
      </c>
      <c r="L212" s="774">
        <f t="shared" si="53"/>
        <v>0</v>
      </c>
      <c r="M212" s="774">
        <f t="shared" si="53"/>
        <v>0</v>
      </c>
      <c r="N212" s="774">
        <f t="shared" si="53"/>
        <v>0</v>
      </c>
      <c r="O212" s="774">
        <f t="shared" si="53"/>
        <v>0</v>
      </c>
      <c r="P212" s="774">
        <f t="shared" si="53"/>
        <v>0</v>
      </c>
      <c r="Q212" s="786">
        <f t="shared" si="53"/>
        <v>0</v>
      </c>
      <c r="R212" s="774">
        <f t="shared" si="53"/>
        <v>0</v>
      </c>
      <c r="S212" s="774">
        <f t="shared" si="53"/>
        <v>0</v>
      </c>
      <c r="T212" s="774">
        <f t="shared" si="53"/>
        <v>0</v>
      </c>
      <c r="U212" s="774">
        <f t="shared" si="53"/>
        <v>0</v>
      </c>
      <c r="V212" s="774">
        <f t="shared" si="53"/>
        <v>0</v>
      </c>
      <c r="W212" s="774">
        <f t="shared" si="53"/>
        <v>0</v>
      </c>
      <c r="X212" s="774">
        <f t="shared" si="53"/>
        <v>0</v>
      </c>
      <c r="Y212" s="774">
        <f t="shared" si="53"/>
        <v>0</v>
      </c>
      <c r="Z212" s="774">
        <f t="shared" si="53"/>
        <v>0</v>
      </c>
      <c r="AA212" s="774">
        <f t="shared" si="53"/>
        <v>0</v>
      </c>
      <c r="AB212" s="774">
        <f t="shared" si="53"/>
        <v>0</v>
      </c>
      <c r="AC212" s="774">
        <f t="shared" si="53"/>
        <v>0</v>
      </c>
      <c r="AD212" s="774">
        <f t="shared" si="53"/>
        <v>0</v>
      </c>
      <c r="AE212" s="774">
        <f t="shared" si="53"/>
        <v>0</v>
      </c>
      <c r="AF212" s="774">
        <f t="shared" si="53"/>
        <v>0</v>
      </c>
      <c r="AG212" s="774">
        <f t="shared" si="53"/>
        <v>0</v>
      </c>
      <c r="AH212" s="774">
        <f t="shared" si="53"/>
        <v>0</v>
      </c>
      <c r="AI212" s="774">
        <f t="shared" si="53"/>
        <v>0</v>
      </c>
      <c r="AJ212" s="774">
        <f t="shared" si="53"/>
        <v>0</v>
      </c>
      <c r="AK212" s="774">
        <f t="shared" si="53"/>
        <v>0</v>
      </c>
      <c r="AL212" s="774">
        <f t="shared" si="53"/>
        <v>0</v>
      </c>
      <c r="AM212" s="774">
        <f t="shared" si="53"/>
        <v>0</v>
      </c>
      <c r="AN212" s="774">
        <f t="shared" si="53"/>
        <v>0</v>
      </c>
    </row>
    <row r="213" spans="1:40" x14ac:dyDescent="0.25">
      <c r="E213" s="774" t="s">
        <v>607</v>
      </c>
      <c r="F213" s="766"/>
      <c r="G213" s="766"/>
      <c r="H213" s="815"/>
      <c r="I213" s="766"/>
      <c r="J213" s="785">
        <f>-MIN(-$F$212*J203,I212)+$F$211*MIN(J203+I212/$F$212,0)</f>
        <v>0</v>
      </c>
      <c r="K213" s="774">
        <f t="shared" ref="K213:AN213" si="54">-MIN(-$F$212*K203,J212)+$F$211*MIN(K203+J212/$F$212,0)</f>
        <v>0</v>
      </c>
      <c r="L213" s="774">
        <f t="shared" si="54"/>
        <v>0</v>
      </c>
      <c r="M213" s="774">
        <f t="shared" si="54"/>
        <v>0</v>
      </c>
      <c r="N213" s="774">
        <f t="shared" si="54"/>
        <v>0</v>
      </c>
      <c r="O213" s="774">
        <f t="shared" si="54"/>
        <v>0</v>
      </c>
      <c r="P213" s="774">
        <f t="shared" si="54"/>
        <v>0</v>
      </c>
      <c r="Q213" s="786">
        <f t="shared" si="54"/>
        <v>0</v>
      </c>
      <c r="R213" s="774">
        <f t="shared" si="54"/>
        <v>0</v>
      </c>
      <c r="S213" s="774">
        <f t="shared" si="54"/>
        <v>0</v>
      </c>
      <c r="T213" s="774">
        <f t="shared" si="54"/>
        <v>0</v>
      </c>
      <c r="U213" s="774">
        <f t="shared" si="54"/>
        <v>0</v>
      </c>
      <c r="V213" s="774">
        <f t="shared" si="54"/>
        <v>0</v>
      </c>
      <c r="W213" s="774">
        <f t="shared" si="54"/>
        <v>0</v>
      </c>
      <c r="X213" s="774">
        <f t="shared" si="54"/>
        <v>0</v>
      </c>
      <c r="Y213" s="774">
        <f t="shared" si="54"/>
        <v>0</v>
      </c>
      <c r="Z213" s="774">
        <f t="shared" si="54"/>
        <v>0</v>
      </c>
      <c r="AA213" s="774">
        <f t="shared" si="54"/>
        <v>0</v>
      </c>
      <c r="AB213" s="774">
        <f t="shared" si="54"/>
        <v>0</v>
      </c>
      <c r="AC213" s="774">
        <f t="shared" si="54"/>
        <v>0</v>
      </c>
      <c r="AD213" s="774">
        <f t="shared" si="54"/>
        <v>0</v>
      </c>
      <c r="AE213" s="774">
        <f t="shared" si="54"/>
        <v>0</v>
      </c>
      <c r="AF213" s="774">
        <f t="shared" si="54"/>
        <v>0</v>
      </c>
      <c r="AG213" s="774">
        <f t="shared" si="54"/>
        <v>0</v>
      </c>
      <c r="AH213" s="774">
        <f t="shared" si="54"/>
        <v>0</v>
      </c>
      <c r="AI213" s="774">
        <f t="shared" si="54"/>
        <v>0</v>
      </c>
      <c r="AJ213" s="774">
        <f t="shared" si="54"/>
        <v>0</v>
      </c>
      <c r="AK213" s="774">
        <f t="shared" si="54"/>
        <v>0</v>
      </c>
      <c r="AL213" s="774">
        <f t="shared" si="54"/>
        <v>0</v>
      </c>
      <c r="AM213" s="774">
        <f t="shared" si="54"/>
        <v>0</v>
      </c>
      <c r="AN213" s="774">
        <f t="shared" si="54"/>
        <v>0</v>
      </c>
    </row>
    <row r="214" spans="1:40" x14ac:dyDescent="0.25">
      <c r="E214" s="774"/>
      <c r="F214" s="766"/>
      <c r="G214" s="766"/>
      <c r="H214" s="815"/>
      <c r="I214" s="766"/>
      <c r="J214" s="768"/>
      <c r="K214" s="766"/>
      <c r="L214" s="766"/>
      <c r="M214" s="766"/>
      <c r="N214" s="766"/>
      <c r="O214" s="766"/>
      <c r="P214" s="766"/>
      <c r="Q214" s="769"/>
      <c r="R214" s="766"/>
      <c r="S214" s="766"/>
      <c r="T214" s="766"/>
      <c r="U214" s="766"/>
      <c r="V214" s="766"/>
      <c r="W214" s="766"/>
      <c r="X214" s="766"/>
      <c r="Y214" s="766"/>
      <c r="Z214" s="766"/>
      <c r="AA214" s="766"/>
      <c r="AB214" s="766"/>
      <c r="AC214" s="766"/>
      <c r="AD214" s="766"/>
      <c r="AE214" s="766"/>
      <c r="AF214" s="766"/>
      <c r="AG214" s="766"/>
      <c r="AH214" s="766"/>
      <c r="AI214" s="766"/>
      <c r="AJ214" s="766"/>
      <c r="AK214" s="766"/>
      <c r="AL214" s="766"/>
      <c r="AM214" s="766"/>
      <c r="AN214" s="766"/>
    </row>
    <row r="215" spans="1:40" s="814" customFormat="1" x14ac:dyDescent="0.25">
      <c r="A215" s="761"/>
      <c r="B215" s="761"/>
      <c r="C215" s="761"/>
      <c r="D215" s="761"/>
      <c r="E215" s="765" t="str">
        <f>'ORT uitgangspunten'!E21</f>
        <v>Vennootschapsbelasting (hoog tarief)</v>
      </c>
      <c r="F215" s="817">
        <f>'ORT uitgangspunten'!G21</f>
        <v>0.25800000000000001</v>
      </c>
      <c r="G215" s="765"/>
      <c r="I215" s="765"/>
      <c r="J215" s="812">
        <f t="shared" ref="J215:AN215" si="55">SUM(J211:J213)</f>
        <v>0</v>
      </c>
      <c r="K215" s="765">
        <f t="shared" si="55"/>
        <v>0</v>
      </c>
      <c r="L215" s="765">
        <f>SUM(L211:L213)</f>
        <v>0</v>
      </c>
      <c r="M215" s="765">
        <f>SUM(M211:M213)</f>
        <v>0</v>
      </c>
      <c r="N215" s="765">
        <f>SUM(N211:N213)</f>
        <v>0</v>
      </c>
      <c r="O215" s="765">
        <f t="shared" si="55"/>
        <v>0</v>
      </c>
      <c r="P215" s="765">
        <f t="shared" si="55"/>
        <v>0</v>
      </c>
      <c r="Q215" s="813">
        <f t="shared" si="55"/>
        <v>0</v>
      </c>
      <c r="R215" s="765">
        <f t="shared" si="55"/>
        <v>0</v>
      </c>
      <c r="S215" s="765">
        <f t="shared" si="55"/>
        <v>0</v>
      </c>
      <c r="T215" s="765">
        <f t="shared" si="55"/>
        <v>0</v>
      </c>
      <c r="U215" s="765">
        <f t="shared" si="55"/>
        <v>0</v>
      </c>
      <c r="V215" s="765">
        <f t="shared" si="55"/>
        <v>0</v>
      </c>
      <c r="W215" s="765">
        <f t="shared" si="55"/>
        <v>0</v>
      </c>
      <c r="X215" s="765">
        <f t="shared" si="55"/>
        <v>0</v>
      </c>
      <c r="Y215" s="765">
        <f t="shared" si="55"/>
        <v>0</v>
      </c>
      <c r="Z215" s="765">
        <f t="shared" si="55"/>
        <v>0</v>
      </c>
      <c r="AA215" s="765">
        <f t="shared" si="55"/>
        <v>0</v>
      </c>
      <c r="AB215" s="765">
        <f t="shared" si="55"/>
        <v>0</v>
      </c>
      <c r="AC215" s="765">
        <f t="shared" si="55"/>
        <v>0</v>
      </c>
      <c r="AD215" s="765">
        <f t="shared" si="55"/>
        <v>0</v>
      </c>
      <c r="AE215" s="765">
        <f t="shared" si="55"/>
        <v>0</v>
      </c>
      <c r="AF215" s="765">
        <f t="shared" si="55"/>
        <v>0</v>
      </c>
      <c r="AG215" s="765">
        <f t="shared" si="55"/>
        <v>0</v>
      </c>
      <c r="AH215" s="765">
        <f t="shared" si="55"/>
        <v>0</v>
      </c>
      <c r="AI215" s="765">
        <f t="shared" si="55"/>
        <v>0</v>
      </c>
      <c r="AJ215" s="765">
        <f t="shared" si="55"/>
        <v>0</v>
      </c>
      <c r="AK215" s="765">
        <f t="shared" si="55"/>
        <v>0</v>
      </c>
      <c r="AL215" s="765">
        <f t="shared" si="55"/>
        <v>0</v>
      </c>
      <c r="AM215" s="765">
        <f t="shared" si="55"/>
        <v>0</v>
      </c>
      <c r="AN215" s="765">
        <f t="shared" si="55"/>
        <v>0</v>
      </c>
    </row>
    <row r="216" spans="1:40" x14ac:dyDescent="0.25"/>
    <row r="217" spans="1:40" x14ac:dyDescent="0.25">
      <c r="A217" s="750"/>
      <c r="B217" s="751" t="s">
        <v>608</v>
      </c>
      <c r="C217" s="752"/>
      <c r="D217" s="752"/>
      <c r="E217" s="752"/>
      <c r="F217" s="752"/>
      <c r="G217" s="752"/>
      <c r="H217" s="752"/>
      <c r="I217" s="752"/>
    </row>
    <row r="218" spans="1:40" x14ac:dyDescent="0.25"/>
    <row r="219" spans="1:40" x14ac:dyDescent="0.25">
      <c r="E219" s="731" t="str">
        <f>E198</f>
        <v>EBITDA</v>
      </c>
      <c r="F219" s="731">
        <f>F198</f>
        <v>0</v>
      </c>
      <c r="G219" s="763" t="s">
        <v>534</v>
      </c>
      <c r="J219" s="734">
        <f>J198</f>
        <v>0</v>
      </c>
      <c r="K219" s="731">
        <f>K198</f>
        <v>0</v>
      </c>
      <c r="L219" s="731">
        <f t="shared" ref="L219:AN219" si="56">L198</f>
        <v>0</v>
      </c>
      <c r="M219" s="731">
        <f t="shared" si="56"/>
        <v>0</v>
      </c>
      <c r="N219" s="731">
        <f t="shared" si="56"/>
        <v>0</v>
      </c>
      <c r="O219" s="731">
        <f t="shared" si="56"/>
        <v>0</v>
      </c>
      <c r="P219" s="731">
        <f t="shared" si="56"/>
        <v>0</v>
      </c>
      <c r="Q219" s="735">
        <f t="shared" si="56"/>
        <v>0</v>
      </c>
      <c r="R219" s="731">
        <f t="shared" si="56"/>
        <v>0</v>
      </c>
      <c r="S219" s="731">
        <f t="shared" si="56"/>
        <v>0</v>
      </c>
      <c r="T219" s="731">
        <f t="shared" si="56"/>
        <v>0</v>
      </c>
      <c r="U219" s="731">
        <f t="shared" si="56"/>
        <v>0</v>
      </c>
      <c r="V219" s="731">
        <f t="shared" si="56"/>
        <v>0</v>
      </c>
      <c r="W219" s="731">
        <f t="shared" si="56"/>
        <v>0</v>
      </c>
      <c r="X219" s="731">
        <f t="shared" si="56"/>
        <v>0</v>
      </c>
      <c r="Y219" s="731">
        <f t="shared" si="56"/>
        <v>0</v>
      </c>
      <c r="Z219" s="731">
        <f t="shared" si="56"/>
        <v>0</v>
      </c>
      <c r="AA219" s="731">
        <f t="shared" si="56"/>
        <v>0</v>
      </c>
      <c r="AB219" s="731">
        <f t="shared" si="56"/>
        <v>0</v>
      </c>
      <c r="AC219" s="731">
        <f t="shared" si="56"/>
        <v>0</v>
      </c>
      <c r="AD219" s="731">
        <f t="shared" si="56"/>
        <v>0</v>
      </c>
      <c r="AE219" s="731">
        <f t="shared" si="56"/>
        <v>0</v>
      </c>
      <c r="AF219" s="731">
        <f t="shared" si="56"/>
        <v>0</v>
      </c>
      <c r="AG219" s="731">
        <f t="shared" si="56"/>
        <v>0</v>
      </c>
      <c r="AH219" s="731">
        <f t="shared" si="56"/>
        <v>0</v>
      </c>
      <c r="AI219" s="731">
        <f t="shared" si="56"/>
        <v>0</v>
      </c>
      <c r="AJ219" s="731">
        <f t="shared" si="56"/>
        <v>0</v>
      </c>
      <c r="AK219" s="731">
        <f t="shared" si="56"/>
        <v>0</v>
      </c>
      <c r="AL219" s="731">
        <f t="shared" si="56"/>
        <v>0</v>
      </c>
      <c r="AM219" s="731">
        <f t="shared" si="56"/>
        <v>0</v>
      </c>
      <c r="AN219" s="731">
        <f t="shared" si="56"/>
        <v>0</v>
      </c>
    </row>
    <row r="220" spans="1:40" x14ac:dyDescent="0.25">
      <c r="E220" s="731" t="str">
        <f>E215</f>
        <v>Vennootschapsbelasting (hoog tarief)</v>
      </c>
      <c r="F220" s="818">
        <f>F215</f>
        <v>0.25800000000000001</v>
      </c>
      <c r="J220" s="734">
        <f t="shared" ref="J220:AN220" si="57">-J215</f>
        <v>0</v>
      </c>
      <c r="K220" s="731">
        <f>-K215</f>
        <v>0</v>
      </c>
      <c r="L220" s="731">
        <f t="shared" si="57"/>
        <v>0</v>
      </c>
      <c r="M220" s="731">
        <f t="shared" si="57"/>
        <v>0</v>
      </c>
      <c r="N220" s="731">
        <f t="shared" si="57"/>
        <v>0</v>
      </c>
      <c r="O220" s="731">
        <f t="shared" si="57"/>
        <v>0</v>
      </c>
      <c r="P220" s="731">
        <f t="shared" si="57"/>
        <v>0</v>
      </c>
      <c r="Q220" s="735">
        <f t="shared" si="57"/>
        <v>0</v>
      </c>
      <c r="R220" s="731">
        <f t="shared" si="57"/>
        <v>0</v>
      </c>
      <c r="S220" s="731">
        <f t="shared" si="57"/>
        <v>0</v>
      </c>
      <c r="T220" s="731">
        <f t="shared" si="57"/>
        <v>0</v>
      </c>
      <c r="U220" s="731">
        <f t="shared" si="57"/>
        <v>0</v>
      </c>
      <c r="V220" s="731">
        <f t="shared" si="57"/>
        <v>0</v>
      </c>
      <c r="W220" s="731">
        <f t="shared" si="57"/>
        <v>0</v>
      </c>
      <c r="X220" s="731">
        <f t="shared" si="57"/>
        <v>0</v>
      </c>
      <c r="Y220" s="731">
        <f t="shared" si="57"/>
        <v>0</v>
      </c>
      <c r="Z220" s="731">
        <f t="shared" si="57"/>
        <v>0</v>
      </c>
      <c r="AA220" s="731">
        <f t="shared" si="57"/>
        <v>0</v>
      </c>
      <c r="AB220" s="731">
        <f t="shared" si="57"/>
        <v>0</v>
      </c>
      <c r="AC220" s="731">
        <f t="shared" si="57"/>
        <v>0</v>
      </c>
      <c r="AD220" s="731">
        <f t="shared" si="57"/>
        <v>0</v>
      </c>
      <c r="AE220" s="731">
        <f t="shared" si="57"/>
        <v>0</v>
      </c>
      <c r="AF220" s="731">
        <f t="shared" si="57"/>
        <v>0</v>
      </c>
      <c r="AG220" s="731">
        <f t="shared" si="57"/>
        <v>0</v>
      </c>
      <c r="AH220" s="731">
        <f t="shared" si="57"/>
        <v>0</v>
      </c>
      <c r="AI220" s="731">
        <f t="shared" si="57"/>
        <v>0</v>
      </c>
      <c r="AJ220" s="731">
        <f t="shared" si="57"/>
        <v>0</v>
      </c>
      <c r="AK220" s="731">
        <f t="shared" si="57"/>
        <v>0</v>
      </c>
      <c r="AL220" s="731">
        <f t="shared" si="57"/>
        <v>0</v>
      </c>
      <c r="AM220" s="731">
        <f t="shared" si="57"/>
        <v>0</v>
      </c>
      <c r="AN220" s="731">
        <f t="shared" si="57"/>
        <v>0</v>
      </c>
    </row>
    <row r="221" spans="1:40" x14ac:dyDescent="0.25">
      <c r="E221" s="731" t="str">
        <f>E119</f>
        <v>Totaal CAPEX tbv ORT berekening</v>
      </c>
      <c r="F221" s="731">
        <f>F119</f>
        <v>0</v>
      </c>
      <c r="G221" s="763" t="s">
        <v>534</v>
      </c>
      <c r="J221" s="734">
        <f t="shared" ref="J221:AN221" si="58">-J119</f>
        <v>0</v>
      </c>
      <c r="K221" s="731">
        <f t="shared" si="58"/>
        <v>0</v>
      </c>
      <c r="L221" s="731">
        <f t="shared" si="58"/>
        <v>0</v>
      </c>
      <c r="M221" s="731">
        <f t="shared" si="58"/>
        <v>0</v>
      </c>
      <c r="N221" s="731">
        <f t="shared" si="58"/>
        <v>0</v>
      </c>
      <c r="O221" s="731">
        <f t="shared" si="58"/>
        <v>0</v>
      </c>
      <c r="P221" s="731">
        <f t="shared" si="58"/>
        <v>0</v>
      </c>
      <c r="Q221" s="735">
        <f t="shared" si="58"/>
        <v>0</v>
      </c>
      <c r="R221" s="731">
        <f t="shared" si="58"/>
        <v>0</v>
      </c>
      <c r="S221" s="731">
        <f t="shared" si="58"/>
        <v>0</v>
      </c>
      <c r="T221" s="731">
        <f t="shared" si="58"/>
        <v>0</v>
      </c>
      <c r="U221" s="731">
        <f t="shared" si="58"/>
        <v>0</v>
      </c>
      <c r="V221" s="731">
        <f t="shared" si="58"/>
        <v>0</v>
      </c>
      <c r="W221" s="731">
        <f t="shared" si="58"/>
        <v>0</v>
      </c>
      <c r="X221" s="731">
        <f t="shared" si="58"/>
        <v>0</v>
      </c>
      <c r="Y221" s="731">
        <f t="shared" si="58"/>
        <v>0</v>
      </c>
      <c r="Z221" s="731">
        <f t="shared" si="58"/>
        <v>0</v>
      </c>
      <c r="AA221" s="731">
        <f t="shared" si="58"/>
        <v>0</v>
      </c>
      <c r="AB221" s="731">
        <f t="shared" si="58"/>
        <v>0</v>
      </c>
      <c r="AC221" s="731">
        <f t="shared" si="58"/>
        <v>0</v>
      </c>
      <c r="AD221" s="731">
        <f t="shared" si="58"/>
        <v>0</v>
      </c>
      <c r="AE221" s="731">
        <f t="shared" si="58"/>
        <v>0</v>
      </c>
      <c r="AF221" s="731">
        <f t="shared" si="58"/>
        <v>0</v>
      </c>
      <c r="AG221" s="731">
        <f t="shared" si="58"/>
        <v>0</v>
      </c>
      <c r="AH221" s="731">
        <f t="shared" si="58"/>
        <v>0</v>
      </c>
      <c r="AI221" s="731">
        <f t="shared" si="58"/>
        <v>0</v>
      </c>
      <c r="AJ221" s="731">
        <f t="shared" si="58"/>
        <v>0</v>
      </c>
      <c r="AK221" s="731">
        <f t="shared" si="58"/>
        <v>0</v>
      </c>
      <c r="AL221" s="731">
        <f t="shared" si="58"/>
        <v>0</v>
      </c>
      <c r="AM221" s="731">
        <f t="shared" si="58"/>
        <v>0</v>
      </c>
      <c r="AN221" s="731">
        <f t="shared" si="58"/>
        <v>0</v>
      </c>
    </row>
    <row r="222" spans="1:40" x14ac:dyDescent="0.25">
      <c r="E222" s="731" t="str">
        <f>E159</f>
        <v>Totaal aansluitbijdragen</v>
      </c>
      <c r="F222" s="731">
        <f>F159</f>
        <v>0</v>
      </c>
      <c r="G222" s="763" t="s">
        <v>534</v>
      </c>
      <c r="J222" s="734">
        <f t="shared" ref="J222:AN222" si="59">J159</f>
        <v>0</v>
      </c>
      <c r="K222" s="731">
        <f t="shared" si="59"/>
        <v>0</v>
      </c>
      <c r="L222" s="731">
        <f t="shared" si="59"/>
        <v>0</v>
      </c>
      <c r="M222" s="731">
        <f t="shared" si="59"/>
        <v>0</v>
      </c>
      <c r="N222" s="731">
        <f t="shared" si="59"/>
        <v>0</v>
      </c>
      <c r="O222" s="731">
        <f t="shared" si="59"/>
        <v>0</v>
      </c>
      <c r="P222" s="731">
        <f t="shared" si="59"/>
        <v>0</v>
      </c>
      <c r="Q222" s="735">
        <f t="shared" si="59"/>
        <v>0</v>
      </c>
      <c r="R222" s="731">
        <f t="shared" si="59"/>
        <v>0</v>
      </c>
      <c r="S222" s="731">
        <f t="shared" si="59"/>
        <v>0</v>
      </c>
      <c r="T222" s="731">
        <f t="shared" si="59"/>
        <v>0</v>
      </c>
      <c r="U222" s="731">
        <f t="shared" si="59"/>
        <v>0</v>
      </c>
      <c r="V222" s="731">
        <f t="shared" si="59"/>
        <v>0</v>
      </c>
      <c r="W222" s="731">
        <f t="shared" si="59"/>
        <v>0</v>
      </c>
      <c r="X222" s="731">
        <f t="shared" si="59"/>
        <v>0</v>
      </c>
      <c r="Y222" s="731">
        <f t="shared" si="59"/>
        <v>0</v>
      </c>
      <c r="Z222" s="731">
        <f t="shared" si="59"/>
        <v>0</v>
      </c>
      <c r="AA222" s="731">
        <f t="shared" si="59"/>
        <v>0</v>
      </c>
      <c r="AB222" s="731">
        <f t="shared" si="59"/>
        <v>0</v>
      </c>
      <c r="AC222" s="731">
        <f t="shared" si="59"/>
        <v>0</v>
      </c>
      <c r="AD222" s="731">
        <f t="shared" si="59"/>
        <v>0</v>
      </c>
      <c r="AE222" s="731">
        <f t="shared" si="59"/>
        <v>0</v>
      </c>
      <c r="AF222" s="731">
        <f t="shared" si="59"/>
        <v>0</v>
      </c>
      <c r="AG222" s="731">
        <f t="shared" si="59"/>
        <v>0</v>
      </c>
      <c r="AH222" s="731">
        <f t="shared" si="59"/>
        <v>0</v>
      </c>
      <c r="AI222" s="731">
        <f t="shared" si="59"/>
        <v>0</v>
      </c>
      <c r="AJ222" s="731">
        <f t="shared" si="59"/>
        <v>0</v>
      </c>
      <c r="AK222" s="731">
        <f t="shared" si="59"/>
        <v>0</v>
      </c>
      <c r="AL222" s="731">
        <f t="shared" si="59"/>
        <v>0</v>
      </c>
      <c r="AM222" s="731">
        <f t="shared" si="59"/>
        <v>0</v>
      </c>
      <c r="AN222" s="731">
        <f t="shared" si="59"/>
        <v>0</v>
      </c>
    </row>
    <row r="223" spans="1:40" x14ac:dyDescent="0.25">
      <c r="E223" s="819" t="s">
        <v>609</v>
      </c>
      <c r="F223" s="770"/>
      <c r="G223" s="763" t="s">
        <v>534</v>
      </c>
      <c r="H223" s="770"/>
      <c r="I223" s="770"/>
      <c r="J223" s="771">
        <f>SUM(J219:J222)</f>
        <v>0</v>
      </c>
      <c r="K223" s="770">
        <f>SUM(K219:K222)</f>
        <v>0</v>
      </c>
      <c r="L223" s="770">
        <f t="shared" ref="L223:AN223" si="60">SUM(L219:L222)</f>
        <v>0</v>
      </c>
      <c r="M223" s="770">
        <f>SUM(M219:M222)</f>
        <v>0</v>
      </c>
      <c r="N223" s="770">
        <f t="shared" si="60"/>
        <v>0</v>
      </c>
      <c r="O223" s="770">
        <f t="shared" si="60"/>
        <v>0</v>
      </c>
      <c r="P223" s="770">
        <f t="shared" si="60"/>
        <v>0</v>
      </c>
      <c r="Q223" s="772">
        <f t="shared" si="60"/>
        <v>0</v>
      </c>
      <c r="R223" s="770">
        <f t="shared" si="60"/>
        <v>0</v>
      </c>
      <c r="S223" s="770">
        <f t="shared" si="60"/>
        <v>0</v>
      </c>
      <c r="T223" s="770">
        <f t="shared" si="60"/>
        <v>0</v>
      </c>
      <c r="U223" s="770">
        <f t="shared" si="60"/>
        <v>0</v>
      </c>
      <c r="V223" s="770">
        <f t="shared" si="60"/>
        <v>0</v>
      </c>
      <c r="W223" s="770">
        <f t="shared" si="60"/>
        <v>0</v>
      </c>
      <c r="X223" s="770">
        <f t="shared" si="60"/>
        <v>0</v>
      </c>
      <c r="Y223" s="770">
        <f t="shared" si="60"/>
        <v>0</v>
      </c>
      <c r="Z223" s="770">
        <f t="shared" si="60"/>
        <v>0</v>
      </c>
      <c r="AA223" s="770">
        <f t="shared" si="60"/>
        <v>0</v>
      </c>
      <c r="AB223" s="770">
        <f t="shared" si="60"/>
        <v>0</v>
      </c>
      <c r="AC223" s="770">
        <f t="shared" si="60"/>
        <v>0</v>
      </c>
      <c r="AD223" s="770">
        <f t="shared" si="60"/>
        <v>0</v>
      </c>
      <c r="AE223" s="770">
        <f t="shared" si="60"/>
        <v>0</v>
      </c>
      <c r="AF223" s="770">
        <f t="shared" si="60"/>
        <v>0</v>
      </c>
      <c r="AG223" s="770">
        <f t="shared" si="60"/>
        <v>0</v>
      </c>
      <c r="AH223" s="770">
        <f t="shared" si="60"/>
        <v>0</v>
      </c>
      <c r="AI223" s="770">
        <f t="shared" si="60"/>
        <v>0</v>
      </c>
      <c r="AJ223" s="770">
        <f t="shared" si="60"/>
        <v>0</v>
      </c>
      <c r="AK223" s="770">
        <f t="shared" si="60"/>
        <v>0</v>
      </c>
      <c r="AL223" s="770">
        <f t="shared" si="60"/>
        <v>0</v>
      </c>
      <c r="AM223" s="770">
        <f t="shared" si="60"/>
        <v>0</v>
      </c>
      <c r="AN223" s="770">
        <f t="shared" si="60"/>
        <v>0</v>
      </c>
    </row>
    <row r="224" spans="1:40" x14ac:dyDescent="0.25">
      <c r="E224" s="819" t="s">
        <v>610</v>
      </c>
      <c r="F224" s="770"/>
      <c r="G224" s="763" t="s">
        <v>534</v>
      </c>
      <c r="H224" s="770"/>
      <c r="I224" s="770"/>
      <c r="J224" s="771">
        <f>J223+I224</f>
        <v>0</v>
      </c>
      <c r="K224" s="770">
        <f>K223+J224</f>
        <v>0</v>
      </c>
      <c r="L224" s="770">
        <f t="shared" ref="L224:AN224" si="61">L223+K224</f>
        <v>0</v>
      </c>
      <c r="M224" s="770">
        <f t="shared" si="61"/>
        <v>0</v>
      </c>
      <c r="N224" s="770">
        <f t="shared" si="61"/>
        <v>0</v>
      </c>
      <c r="O224" s="770">
        <f t="shared" si="61"/>
        <v>0</v>
      </c>
      <c r="P224" s="770">
        <f t="shared" si="61"/>
        <v>0</v>
      </c>
      <c r="Q224" s="772">
        <f t="shared" si="61"/>
        <v>0</v>
      </c>
      <c r="R224" s="770">
        <f t="shared" si="61"/>
        <v>0</v>
      </c>
      <c r="S224" s="770">
        <f t="shared" si="61"/>
        <v>0</v>
      </c>
      <c r="T224" s="770">
        <f t="shared" si="61"/>
        <v>0</v>
      </c>
      <c r="U224" s="770">
        <f t="shared" si="61"/>
        <v>0</v>
      </c>
      <c r="V224" s="770">
        <f t="shared" si="61"/>
        <v>0</v>
      </c>
      <c r="W224" s="770">
        <f t="shared" si="61"/>
        <v>0</v>
      </c>
      <c r="X224" s="770">
        <f t="shared" si="61"/>
        <v>0</v>
      </c>
      <c r="Y224" s="770">
        <f t="shared" si="61"/>
        <v>0</v>
      </c>
      <c r="Z224" s="770">
        <f t="shared" si="61"/>
        <v>0</v>
      </c>
      <c r="AA224" s="770">
        <f t="shared" si="61"/>
        <v>0</v>
      </c>
      <c r="AB224" s="770">
        <f t="shared" si="61"/>
        <v>0</v>
      </c>
      <c r="AC224" s="770">
        <f t="shared" si="61"/>
        <v>0</v>
      </c>
      <c r="AD224" s="770">
        <f t="shared" si="61"/>
        <v>0</v>
      </c>
      <c r="AE224" s="770">
        <f t="shared" si="61"/>
        <v>0</v>
      </c>
      <c r="AF224" s="770">
        <f t="shared" si="61"/>
        <v>0</v>
      </c>
      <c r="AG224" s="770">
        <f t="shared" si="61"/>
        <v>0</v>
      </c>
      <c r="AH224" s="770">
        <f t="shared" si="61"/>
        <v>0</v>
      </c>
      <c r="AI224" s="770">
        <f t="shared" si="61"/>
        <v>0</v>
      </c>
      <c r="AJ224" s="770">
        <f t="shared" si="61"/>
        <v>0</v>
      </c>
      <c r="AK224" s="770">
        <f t="shared" si="61"/>
        <v>0</v>
      </c>
      <c r="AL224" s="770">
        <f t="shared" si="61"/>
        <v>0</v>
      </c>
      <c r="AM224" s="770">
        <f t="shared" si="61"/>
        <v>0</v>
      </c>
      <c r="AN224" s="770">
        <f t="shared" si="61"/>
        <v>0</v>
      </c>
    </row>
    <row r="225" spans="1:41" x14ac:dyDescent="0.25">
      <c r="E225" s="770"/>
      <c r="F225" s="770"/>
      <c r="G225" s="770"/>
    </row>
    <row r="226" spans="1:41" x14ac:dyDescent="0.25">
      <c r="A226" s="750"/>
      <c r="B226" s="751" t="s">
        <v>611</v>
      </c>
      <c r="C226" s="752"/>
      <c r="D226" s="752"/>
      <c r="E226" s="752"/>
      <c r="F226" s="752"/>
      <c r="G226" s="752"/>
      <c r="H226" s="752"/>
      <c r="I226" s="752"/>
    </row>
    <row r="227" spans="1:41" s="762" customFormat="1" x14ac:dyDescent="0.25">
      <c r="A227" s="773"/>
      <c r="E227" s="802"/>
      <c r="F227" s="802"/>
      <c r="G227" s="802"/>
      <c r="H227" s="803"/>
      <c r="I227" s="803"/>
      <c r="J227" s="804"/>
      <c r="K227" s="803"/>
      <c r="L227" s="803"/>
      <c r="M227" s="803"/>
      <c r="N227" s="803"/>
      <c r="O227" s="803"/>
      <c r="P227" s="803"/>
      <c r="Q227" s="805"/>
      <c r="R227" s="803"/>
      <c r="S227" s="803"/>
      <c r="T227" s="803"/>
      <c r="U227" s="803"/>
      <c r="V227" s="803"/>
      <c r="W227" s="803"/>
      <c r="X227" s="803"/>
      <c r="Y227" s="803"/>
      <c r="Z227" s="803"/>
      <c r="AA227" s="803"/>
      <c r="AB227" s="803"/>
      <c r="AC227" s="803"/>
      <c r="AD227" s="803"/>
      <c r="AE227" s="803"/>
      <c r="AF227" s="803"/>
      <c r="AG227" s="803"/>
      <c r="AH227" s="803"/>
      <c r="AI227" s="803"/>
      <c r="AJ227" s="803"/>
      <c r="AK227" s="803"/>
      <c r="AL227" s="803"/>
      <c r="AM227" s="803"/>
      <c r="AN227" s="803"/>
    </row>
    <row r="228" spans="1:41" s="763" customFormat="1" x14ac:dyDescent="0.25">
      <c r="A228" s="779"/>
      <c r="E228" s="757" t="str">
        <f>'ORT uitgangspunten'!E29</f>
        <v>Discontovoet</v>
      </c>
      <c r="F228" s="758">
        <f>'ORT uitgangspunten'!G29</f>
        <v>5.1999999999999998E-2</v>
      </c>
      <c r="G228" s="757"/>
      <c r="I228" s="764"/>
      <c r="J228" s="776"/>
      <c r="K228" s="764"/>
      <c r="L228" s="764"/>
      <c r="M228" s="764"/>
      <c r="N228" s="764"/>
      <c r="O228" s="764"/>
      <c r="P228" s="764"/>
      <c r="Q228" s="777"/>
      <c r="R228" s="764"/>
      <c r="S228" s="764"/>
      <c r="T228" s="764"/>
      <c r="U228" s="764"/>
      <c r="V228" s="764"/>
      <c r="W228" s="764"/>
      <c r="X228" s="764"/>
      <c r="Y228" s="764"/>
      <c r="Z228" s="764"/>
      <c r="AA228" s="764"/>
      <c r="AB228" s="764"/>
      <c r="AC228" s="764"/>
      <c r="AD228" s="764"/>
      <c r="AE228" s="764"/>
      <c r="AF228" s="764"/>
      <c r="AG228" s="764"/>
      <c r="AH228" s="764"/>
      <c r="AI228" s="764"/>
      <c r="AJ228" s="764"/>
      <c r="AK228" s="764"/>
      <c r="AL228" s="764"/>
      <c r="AM228" s="764"/>
      <c r="AN228" s="764"/>
    </row>
    <row r="229" spans="1:41" s="763" customFormat="1" x14ac:dyDescent="0.25">
      <c r="A229" s="779"/>
      <c r="E229" s="757" t="str">
        <f>E223</f>
        <v>Kasstroom</v>
      </c>
      <c r="F229" s="757">
        <f>F223</f>
        <v>0</v>
      </c>
      <c r="G229" s="757" t="str">
        <f>G223</f>
        <v>[€]</v>
      </c>
      <c r="H229" s="757"/>
      <c r="I229" s="757"/>
      <c r="J229" s="776">
        <f>J223</f>
        <v>0</v>
      </c>
      <c r="K229" s="764">
        <f t="shared" ref="K229:AN229" si="62">K223</f>
        <v>0</v>
      </c>
      <c r="L229" s="764">
        <f>L223</f>
        <v>0</v>
      </c>
      <c r="M229" s="764">
        <f>M223</f>
        <v>0</v>
      </c>
      <c r="N229" s="764">
        <f t="shared" si="62"/>
        <v>0</v>
      </c>
      <c r="O229" s="764">
        <f t="shared" si="62"/>
        <v>0</v>
      </c>
      <c r="P229" s="764">
        <f t="shared" si="62"/>
        <v>0</v>
      </c>
      <c r="Q229" s="777">
        <f t="shared" si="62"/>
        <v>0</v>
      </c>
      <c r="R229" s="764">
        <f t="shared" si="62"/>
        <v>0</v>
      </c>
      <c r="S229" s="764">
        <f t="shared" si="62"/>
        <v>0</v>
      </c>
      <c r="T229" s="764">
        <f t="shared" si="62"/>
        <v>0</v>
      </c>
      <c r="U229" s="764">
        <f t="shared" si="62"/>
        <v>0</v>
      </c>
      <c r="V229" s="764">
        <f t="shared" si="62"/>
        <v>0</v>
      </c>
      <c r="W229" s="764">
        <f t="shared" si="62"/>
        <v>0</v>
      </c>
      <c r="X229" s="764">
        <f t="shared" si="62"/>
        <v>0</v>
      </c>
      <c r="Y229" s="764">
        <f t="shared" si="62"/>
        <v>0</v>
      </c>
      <c r="Z229" s="764">
        <f t="shared" si="62"/>
        <v>0</v>
      </c>
      <c r="AA229" s="764">
        <f t="shared" si="62"/>
        <v>0</v>
      </c>
      <c r="AB229" s="764">
        <f t="shared" si="62"/>
        <v>0</v>
      </c>
      <c r="AC229" s="764">
        <f t="shared" si="62"/>
        <v>0</v>
      </c>
      <c r="AD229" s="764">
        <f t="shared" si="62"/>
        <v>0</v>
      </c>
      <c r="AE229" s="764">
        <f t="shared" si="62"/>
        <v>0</v>
      </c>
      <c r="AF229" s="764">
        <f t="shared" si="62"/>
        <v>0</v>
      </c>
      <c r="AG229" s="764">
        <f t="shared" si="62"/>
        <v>0</v>
      </c>
      <c r="AH229" s="764">
        <f t="shared" si="62"/>
        <v>0</v>
      </c>
      <c r="AI229" s="764">
        <f t="shared" si="62"/>
        <v>0</v>
      </c>
      <c r="AJ229" s="764">
        <f t="shared" si="62"/>
        <v>0</v>
      </c>
      <c r="AK229" s="764">
        <f t="shared" si="62"/>
        <v>0</v>
      </c>
      <c r="AL229" s="764">
        <f t="shared" si="62"/>
        <v>0</v>
      </c>
      <c r="AM229" s="764">
        <f t="shared" si="62"/>
        <v>0</v>
      </c>
      <c r="AN229" s="764">
        <f t="shared" si="62"/>
        <v>0</v>
      </c>
    </row>
    <row r="230" spans="1:41" s="763" customFormat="1" x14ac:dyDescent="0.25">
      <c r="A230" s="779"/>
      <c r="E230" s="757" t="s">
        <v>612</v>
      </c>
      <c r="F230" s="828">
        <f>SUM(J230:AN230)</f>
        <v>0</v>
      </c>
      <c r="G230" s="829" t="s">
        <v>534</v>
      </c>
      <c r="H230" s="830"/>
      <c r="I230" s="764"/>
      <c r="J230" s="776">
        <f xml:space="preserve"> J229 / (1 + $F228) ^ (J$6 - 1)</f>
        <v>0</v>
      </c>
      <c r="K230" s="764">
        <f xml:space="preserve"> K229 / (1 + $F228) ^ (K$6 - 1)</f>
        <v>0</v>
      </c>
      <c r="L230" s="764">
        <f xml:space="preserve"> L229 / (1 + $F228) ^ (L$6 - 1)</f>
        <v>0</v>
      </c>
      <c r="M230" s="764">
        <f t="shared" ref="M230:AN230" si="63" xml:space="preserve"> M229 / (1 + $F228) ^ (M$6 - 1)</f>
        <v>0</v>
      </c>
      <c r="N230" s="764">
        <f t="shared" si="63"/>
        <v>0</v>
      </c>
      <c r="O230" s="764">
        <f t="shared" si="63"/>
        <v>0</v>
      </c>
      <c r="P230" s="764">
        <f t="shared" si="63"/>
        <v>0</v>
      </c>
      <c r="Q230" s="777">
        <f t="shared" si="63"/>
        <v>0</v>
      </c>
      <c r="R230" s="764">
        <f t="shared" si="63"/>
        <v>0</v>
      </c>
      <c r="S230" s="764">
        <f t="shared" si="63"/>
        <v>0</v>
      </c>
      <c r="T230" s="764">
        <f t="shared" si="63"/>
        <v>0</v>
      </c>
      <c r="U230" s="764">
        <f t="shared" si="63"/>
        <v>0</v>
      </c>
      <c r="V230" s="764">
        <f t="shared" si="63"/>
        <v>0</v>
      </c>
      <c r="W230" s="764">
        <f t="shared" si="63"/>
        <v>0</v>
      </c>
      <c r="X230" s="764">
        <f t="shared" si="63"/>
        <v>0</v>
      </c>
      <c r="Y230" s="764">
        <f t="shared" si="63"/>
        <v>0</v>
      </c>
      <c r="Z230" s="764">
        <f t="shared" si="63"/>
        <v>0</v>
      </c>
      <c r="AA230" s="764">
        <f t="shared" si="63"/>
        <v>0</v>
      </c>
      <c r="AB230" s="764">
        <f t="shared" si="63"/>
        <v>0</v>
      </c>
      <c r="AC230" s="764">
        <f t="shared" si="63"/>
        <v>0</v>
      </c>
      <c r="AD230" s="764">
        <f t="shared" si="63"/>
        <v>0</v>
      </c>
      <c r="AE230" s="764">
        <f t="shared" si="63"/>
        <v>0</v>
      </c>
      <c r="AF230" s="764">
        <f t="shared" si="63"/>
        <v>0</v>
      </c>
      <c r="AG230" s="764">
        <f t="shared" si="63"/>
        <v>0</v>
      </c>
      <c r="AH230" s="764">
        <f t="shared" si="63"/>
        <v>0</v>
      </c>
      <c r="AI230" s="764">
        <f t="shared" si="63"/>
        <v>0</v>
      </c>
      <c r="AJ230" s="764">
        <f t="shared" si="63"/>
        <v>0</v>
      </c>
      <c r="AK230" s="764">
        <f t="shared" si="63"/>
        <v>0</v>
      </c>
      <c r="AL230" s="764">
        <f t="shared" si="63"/>
        <v>0</v>
      </c>
      <c r="AM230" s="764">
        <f t="shared" si="63"/>
        <v>0</v>
      </c>
      <c r="AN230" s="764">
        <f t="shared" si="63"/>
        <v>0</v>
      </c>
    </row>
    <row r="231" spans="1:41" s="779" customFormat="1" ht="12.5" thickBot="1" x14ac:dyDescent="0.3">
      <c r="E231" s="820" t="s">
        <v>613</v>
      </c>
      <c r="F231" s="821">
        <f>SUM(J231:AN231)</f>
        <v>0</v>
      </c>
      <c r="G231" s="831" t="s">
        <v>534</v>
      </c>
      <c r="H231" s="822"/>
      <c r="I231" s="822"/>
      <c r="J231" s="823">
        <f>J230/(1-$F$220)</f>
        <v>0</v>
      </c>
      <c r="K231" s="822">
        <f t="shared" ref="K231:AN231" si="64">K230/(1-$F$220)</f>
        <v>0</v>
      </c>
      <c r="L231" s="822">
        <f>L230/(1-$F$220)</f>
        <v>0</v>
      </c>
      <c r="M231" s="822">
        <f t="shared" si="64"/>
        <v>0</v>
      </c>
      <c r="N231" s="822">
        <f t="shared" si="64"/>
        <v>0</v>
      </c>
      <c r="O231" s="822">
        <f t="shared" si="64"/>
        <v>0</v>
      </c>
      <c r="P231" s="822">
        <f t="shared" si="64"/>
        <v>0</v>
      </c>
      <c r="Q231" s="824">
        <f t="shared" si="64"/>
        <v>0</v>
      </c>
      <c r="R231" s="822">
        <f t="shared" si="64"/>
        <v>0</v>
      </c>
      <c r="S231" s="822">
        <f t="shared" si="64"/>
        <v>0</v>
      </c>
      <c r="T231" s="822">
        <f t="shared" si="64"/>
        <v>0</v>
      </c>
      <c r="U231" s="822">
        <f t="shared" si="64"/>
        <v>0</v>
      </c>
      <c r="V231" s="822">
        <f t="shared" si="64"/>
        <v>0</v>
      </c>
      <c r="W231" s="822">
        <f t="shared" si="64"/>
        <v>0</v>
      </c>
      <c r="X231" s="822">
        <f t="shared" si="64"/>
        <v>0</v>
      </c>
      <c r="Y231" s="822">
        <f t="shared" si="64"/>
        <v>0</v>
      </c>
      <c r="Z231" s="822">
        <f t="shared" si="64"/>
        <v>0</v>
      </c>
      <c r="AA231" s="822">
        <f t="shared" si="64"/>
        <v>0</v>
      </c>
      <c r="AB231" s="822">
        <f t="shared" si="64"/>
        <v>0</v>
      </c>
      <c r="AC231" s="822">
        <f t="shared" si="64"/>
        <v>0</v>
      </c>
      <c r="AD231" s="822">
        <f t="shared" si="64"/>
        <v>0</v>
      </c>
      <c r="AE231" s="822">
        <f t="shared" si="64"/>
        <v>0</v>
      </c>
      <c r="AF231" s="822">
        <f t="shared" si="64"/>
        <v>0</v>
      </c>
      <c r="AG231" s="822">
        <f t="shared" si="64"/>
        <v>0</v>
      </c>
      <c r="AH231" s="822">
        <f t="shared" si="64"/>
        <v>0</v>
      </c>
      <c r="AI231" s="822">
        <f t="shared" si="64"/>
        <v>0</v>
      </c>
      <c r="AJ231" s="822">
        <f t="shared" si="64"/>
        <v>0</v>
      </c>
      <c r="AK231" s="822">
        <f t="shared" si="64"/>
        <v>0</v>
      </c>
      <c r="AL231" s="822">
        <f t="shared" si="64"/>
        <v>0</v>
      </c>
      <c r="AM231" s="822">
        <f t="shared" si="64"/>
        <v>0</v>
      </c>
      <c r="AN231" s="822">
        <f t="shared" si="64"/>
        <v>0</v>
      </c>
    </row>
    <row r="232" spans="1:41" s="762" customFormat="1" ht="12.5" thickTop="1" x14ac:dyDescent="0.25">
      <c r="A232" s="773"/>
      <c r="E232" s="802"/>
      <c r="F232" s="802"/>
      <c r="G232" s="802"/>
      <c r="H232" s="803"/>
      <c r="I232" s="803"/>
      <c r="J232" s="825"/>
      <c r="K232" s="802"/>
      <c r="L232" s="802"/>
      <c r="M232" s="802"/>
      <c r="N232" s="802"/>
      <c r="O232" s="802"/>
      <c r="P232" s="802"/>
      <c r="Q232" s="826"/>
      <c r="R232" s="802"/>
      <c r="S232" s="802"/>
      <c r="T232" s="802"/>
      <c r="U232" s="802"/>
      <c r="V232" s="802"/>
      <c r="W232" s="802"/>
      <c r="X232" s="802"/>
      <c r="Y232" s="802"/>
      <c r="Z232" s="802"/>
      <c r="AA232" s="802"/>
      <c r="AB232" s="802"/>
      <c r="AC232" s="802"/>
      <c r="AD232" s="802"/>
      <c r="AE232" s="802"/>
      <c r="AF232" s="802"/>
      <c r="AG232" s="802"/>
      <c r="AH232" s="802"/>
      <c r="AI232" s="802"/>
      <c r="AJ232" s="802"/>
      <c r="AK232" s="802"/>
      <c r="AL232" s="802"/>
      <c r="AM232" s="802"/>
      <c r="AN232" s="802"/>
    </row>
    <row r="233" spans="1:41" x14ac:dyDescent="0.25">
      <c r="E233" s="774" t="s">
        <v>614</v>
      </c>
      <c r="F233" s="791">
        <f>SUM(J233:AN233)</f>
        <v>0</v>
      </c>
      <c r="G233" s="763" t="s">
        <v>534</v>
      </c>
      <c r="H233" s="827"/>
      <c r="I233" s="827"/>
      <c r="J233" s="785">
        <f>IFERROR(IF(J5&lt;YEAR(Einddatum),0.9*(Mijlpalenbegroting!C30*(Begroting!$Q$212/Begroting!$Q$175)),IF(J5=YEAR(Einddatum),0.9*(Mijlpalenbegroting!C30*(Begroting!$Q$212/Begroting!$Q$175))+0.1*(Begroting!$Q$175 * (Begroting!$Q$212/Begroting!$Q$175)),0)),0)</f>
        <v>0</v>
      </c>
      <c r="K233" s="853">
        <f>IF(K5&lt;YEAR(Einddatum),0.9*(Mijlpalenbegroting!D30*(Begroting!$Q$212/Begroting!$Q$175)),IF(K5=YEAR(Einddatum),0.9*(Mijlpalenbegroting!D30*(Begroting!$Q$212/Begroting!$Q$175))+0.1*(Begroting!$Q$175 * (Begroting!$Q$212/Begroting!$Q$175)),0))</f>
        <v>0</v>
      </c>
      <c r="L233" s="853">
        <f>IF(L5&lt;YEAR(Einddatum),0.9*(Mijlpalenbegroting!E30*(Begroting!$Q$212/Begroting!$Q$175)),IF(L5=YEAR(Einddatum),0.9*(Mijlpalenbegroting!E30*(Begroting!$Q$212/Begroting!$Q$175))+0.1*(Begroting!$Q$175 * (Begroting!$Q$212/Begroting!$Q$175)),0))</f>
        <v>0</v>
      </c>
      <c r="M233" s="853">
        <f>IF(M5&lt;YEAR(Einddatum),0.9*(Mijlpalenbegroting!F30*(Begroting!$Q$212/Begroting!$Q$175)),IF(M5=YEAR(Einddatum),0.9*(Mijlpalenbegroting!F30*(Begroting!$Q$212/Begroting!$Q$175))+0.1*(Begroting!$Q$175 * (Begroting!$Q$212/Begroting!$Q$175)),0))</f>
        <v>0</v>
      </c>
      <c r="N233" s="853">
        <f>IF(N5&lt;YEAR(Einddatum),0.9*(Mijlpalenbegroting!G30*(Begroting!$Q$212/Begroting!$Q$175)),IF(N5=YEAR(Einddatum),0.9*(Mijlpalenbegroting!G30*(Begroting!$Q$212/Begroting!$Q$175))+0.1*(Begroting!$Q$175 * (Begroting!$Q$212/Begroting!$Q$175)),0))</f>
        <v>0</v>
      </c>
      <c r="O233" s="853">
        <f>IF(O5&lt;YEAR(Einddatum),0.9*(Mijlpalenbegroting!H30*(Begroting!$Q$212/Begroting!$Q$175)),IF(O5=YEAR(Einddatum),0.9*(Mijlpalenbegroting!H30*(Begroting!$Q$212/Begroting!$Q$175))+0.1*(Begroting!$Q$175 * (Begroting!$Q$212/Begroting!$Q$175)),0))</f>
        <v>0</v>
      </c>
      <c r="P233" s="853">
        <f>IF(P5&lt;YEAR(Einddatum),0.9*(Mijlpalenbegroting!I30*(Begroting!$Q$212/Begroting!$Q$175)),IF(P5=YEAR(Einddatum),0.9*(Mijlpalenbegroting!I30*(Begroting!$Q$212/Begroting!$Q$175))+0.1*(Begroting!$Q$175 * (Begroting!$Q$212/Begroting!$Q$175)),0))</f>
        <v>0</v>
      </c>
      <c r="Q233" s="786">
        <f>IF(Q5&lt;YEAR(Einddatum),0.9*(Mijlpalenbegroting!J30*(Begroting!$Q$212/Begroting!$Q$175)),IF(Q5=YEAR(Einddatum),0.9*(Mijlpalenbegroting!J30*(Begroting!$Q$212/Begroting!$Q$175))+0.1*(Begroting!$Q$175 * (Begroting!$Q$212/Begroting!$Q$175)),0))</f>
        <v>0</v>
      </c>
      <c r="R233" s="853">
        <f>IF(R5&lt;YEAR(Einddatum),0.9*(Mijlpalenbegroting!K30*(Begroting!$Q$212/Begroting!$Q$175)),IF(R5=YEAR(Einddatum),0.9*(Mijlpalenbegroting!K30*(Begroting!$Q$212/Begroting!$Q$175))+0.1*(Begroting!$Q$175 * (Begroting!$Q$212/Begroting!$Q$175)),0))</f>
        <v>0</v>
      </c>
      <c r="S233" s="853">
        <f>IF(S5&lt;YEAR(Einddatum),0.9*(Mijlpalenbegroting!L30*(Begroting!$Q$212/Begroting!$Q$175)),IF(S5=YEAR(Einddatum),0.9*(Mijlpalenbegroting!L30*(Begroting!$Q$212/Begroting!$Q$175))+0.1*(Begroting!$Q$175 * (Begroting!$Q$212/Begroting!$Q$175)),0))</f>
        <v>0</v>
      </c>
      <c r="T233" s="853"/>
      <c r="U233" s="853"/>
      <c r="V233" s="853"/>
      <c r="W233" s="853"/>
      <c r="X233" s="853"/>
      <c r="Y233" s="853"/>
      <c r="Z233" s="853"/>
      <c r="AA233" s="853"/>
      <c r="AB233" s="853"/>
      <c r="AC233" s="853"/>
      <c r="AD233" s="853"/>
      <c r="AE233" s="853"/>
      <c r="AF233" s="774"/>
      <c r="AG233" s="774"/>
      <c r="AH233" s="774"/>
      <c r="AI233" s="774"/>
      <c r="AJ233" s="774"/>
      <c r="AK233" s="774"/>
      <c r="AL233" s="774"/>
      <c r="AM233" s="774"/>
      <c r="AN233" s="774"/>
      <c r="AO233" s="827"/>
    </row>
    <row r="234" spans="1:41" x14ac:dyDescent="0.25">
      <c r="E234" s="757" t="s">
        <v>615</v>
      </c>
      <c r="F234" s="774"/>
      <c r="G234" s="763" t="s">
        <v>534</v>
      </c>
      <c r="H234" s="827"/>
      <c r="I234" s="827"/>
      <c r="J234" s="785">
        <f>J223+J233+I234</f>
        <v>0</v>
      </c>
      <c r="K234" s="774">
        <f t="shared" ref="K234:AN234" si="65">K223+K233+J234</f>
        <v>0</v>
      </c>
      <c r="L234" s="774">
        <f t="shared" si="65"/>
        <v>0</v>
      </c>
      <c r="M234" s="774">
        <f t="shared" si="65"/>
        <v>0</v>
      </c>
      <c r="N234" s="774">
        <f t="shared" si="65"/>
        <v>0</v>
      </c>
      <c r="O234" s="774">
        <f t="shared" si="65"/>
        <v>0</v>
      </c>
      <c r="P234" s="774">
        <f t="shared" si="65"/>
        <v>0</v>
      </c>
      <c r="Q234" s="786">
        <f t="shared" si="65"/>
        <v>0</v>
      </c>
      <c r="R234" s="774">
        <f t="shared" si="65"/>
        <v>0</v>
      </c>
      <c r="S234" s="774">
        <f t="shared" si="65"/>
        <v>0</v>
      </c>
      <c r="T234" s="774">
        <f t="shared" si="65"/>
        <v>0</v>
      </c>
      <c r="U234" s="774">
        <f t="shared" si="65"/>
        <v>0</v>
      </c>
      <c r="V234" s="774">
        <f t="shared" si="65"/>
        <v>0</v>
      </c>
      <c r="W234" s="774">
        <f t="shared" si="65"/>
        <v>0</v>
      </c>
      <c r="X234" s="774">
        <f t="shared" si="65"/>
        <v>0</v>
      </c>
      <c r="Y234" s="774">
        <f t="shared" si="65"/>
        <v>0</v>
      </c>
      <c r="Z234" s="774">
        <f t="shared" si="65"/>
        <v>0</v>
      </c>
      <c r="AA234" s="774">
        <f t="shared" si="65"/>
        <v>0</v>
      </c>
      <c r="AB234" s="774">
        <f t="shared" si="65"/>
        <v>0</v>
      </c>
      <c r="AC234" s="774">
        <f t="shared" si="65"/>
        <v>0</v>
      </c>
      <c r="AD234" s="774">
        <f t="shared" si="65"/>
        <v>0</v>
      </c>
      <c r="AE234" s="774">
        <f t="shared" si="65"/>
        <v>0</v>
      </c>
      <c r="AF234" s="774">
        <f t="shared" si="65"/>
        <v>0</v>
      </c>
      <c r="AG234" s="774">
        <f t="shared" si="65"/>
        <v>0</v>
      </c>
      <c r="AH234" s="774">
        <f t="shared" si="65"/>
        <v>0</v>
      </c>
      <c r="AI234" s="774">
        <f t="shared" si="65"/>
        <v>0</v>
      </c>
      <c r="AJ234" s="774">
        <f t="shared" si="65"/>
        <v>0</v>
      </c>
      <c r="AK234" s="774">
        <f t="shared" si="65"/>
        <v>0</v>
      </c>
      <c r="AL234" s="774">
        <f t="shared" si="65"/>
        <v>0</v>
      </c>
      <c r="AM234" s="774">
        <f t="shared" si="65"/>
        <v>0</v>
      </c>
      <c r="AN234" s="774">
        <f t="shared" si="65"/>
        <v>0</v>
      </c>
      <c r="AO234" s="827"/>
    </row>
    <row r="235" spans="1:41" x14ac:dyDescent="0.25"/>
    <row r="236" spans="1:41" x14ac:dyDescent="0.25"/>
    <row r="237" spans="1:41" x14ac:dyDescent="0.25"/>
    <row r="238" spans="1:41" x14ac:dyDescent="0.25"/>
    <row r="239" spans="1:41" x14ac:dyDescent="0.25"/>
    <row r="240" spans="1:41"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sheetData>
  <sheetProtection algorithmName="SHA-512" hashValue="ODfh131NSnRZZ5I6laZKGpuJSDGpoZgE/jjk7hyUpn1IPOQFQc7Klc89KKQjORhvJu0gry2RX4X8RJLNwJuj2Q==" saltValue="ok9edb46lQkmJVxSpqyvcA==" spinCount="100000" sheet="1" objects="1" scenarios="1" formatColumns="0" formatRows="0"/>
  <pageMargins left="0.7" right="0.7" top="0.75" bottom="0.75" header="0.3" footer="0.3"/>
  <pageSetup paperSize="9" orientation="portrait" r:id="rId1"/>
  <ignoredErrors>
    <ignoredError sqref="F74:F75"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tabColor rgb="FF7030A0"/>
  </sheetPr>
  <dimension ref="A1:V5"/>
  <sheetViews>
    <sheetView zoomScaleNormal="100" workbookViewId="0">
      <pane xSplit="5" ySplit="1" topLeftCell="F2" activePane="bottomRight" state="frozen"/>
      <selection pane="topRight" activeCell="H37" sqref="H37"/>
      <selection pane="bottomLeft" activeCell="H37" sqref="H37"/>
      <selection pane="bottomRight" activeCell="A2" sqref="A2"/>
    </sheetView>
  </sheetViews>
  <sheetFormatPr defaultColWidth="9.26953125" defaultRowHeight="11.5" x14ac:dyDescent="0.25"/>
  <cols>
    <col min="1" max="1" width="8.7265625" style="14" bestFit="1" customWidth="1"/>
    <col min="2" max="3" width="13.453125" style="60" customWidth="1"/>
    <col min="4" max="4" width="17.26953125" style="60" customWidth="1"/>
    <col min="5" max="6" width="21.26953125" style="113" customWidth="1"/>
    <col min="7" max="12" width="14.26953125" style="60" customWidth="1"/>
    <col min="13" max="13" width="15.453125" style="60" customWidth="1"/>
    <col min="14" max="14" width="14.26953125" style="60" customWidth="1"/>
    <col min="15" max="15" width="13.26953125" style="60" bestFit="1" customWidth="1"/>
    <col min="16" max="16" width="13.453125" style="60" customWidth="1"/>
    <col min="17" max="20" width="15.1796875" style="60" customWidth="1"/>
    <col min="21" max="21" width="15.1796875" style="14" customWidth="1"/>
    <col min="22" max="22" width="23.26953125" style="60" customWidth="1"/>
    <col min="23" max="16384" width="9.26953125" style="60"/>
  </cols>
  <sheetData>
    <row r="1" spans="1:22" s="163" customFormat="1" ht="57.5" x14ac:dyDescent="0.25">
      <c r="A1" s="127" t="s">
        <v>616</v>
      </c>
      <c r="B1" s="158" t="s">
        <v>617</v>
      </c>
      <c r="C1" s="158" t="s">
        <v>618</v>
      </c>
      <c r="D1" s="158" t="s">
        <v>230</v>
      </c>
      <c r="E1" s="158" t="s">
        <v>619</v>
      </c>
      <c r="F1" s="204" t="s">
        <v>620</v>
      </c>
      <c r="G1" s="188" t="s">
        <v>242</v>
      </c>
      <c r="H1" s="188" t="s">
        <v>153</v>
      </c>
      <c r="I1" s="188" t="s">
        <v>156</v>
      </c>
      <c r="J1" s="188" t="s">
        <v>162</v>
      </c>
      <c r="K1" s="188" t="s">
        <v>164</v>
      </c>
      <c r="L1" s="188" t="s">
        <v>171</v>
      </c>
      <c r="M1" s="159" t="s">
        <v>621</v>
      </c>
      <c r="N1" s="160" t="s">
        <v>622</v>
      </c>
      <c r="O1" s="160" t="s">
        <v>623</v>
      </c>
      <c r="P1" s="160" t="s">
        <v>624</v>
      </c>
      <c r="Q1" s="161" t="s">
        <v>625</v>
      </c>
      <c r="R1" s="161" t="s">
        <v>626</v>
      </c>
      <c r="S1" s="161" t="s">
        <v>312</v>
      </c>
      <c r="T1" s="161" t="s">
        <v>627</v>
      </c>
      <c r="U1" s="356" t="s">
        <v>628</v>
      </c>
      <c r="V1" s="162"/>
    </row>
    <row r="2" spans="1:22" s="114" customFormat="1" ht="34.5" x14ac:dyDescent="0.25">
      <c r="A2" s="123">
        <v>0</v>
      </c>
      <c r="B2" s="124">
        <f>Project!$B$7</f>
        <v>0</v>
      </c>
      <c r="C2" s="125" t="str">
        <f>Project!$B$4</f>
        <v>[Dit veld vult RVO in]</v>
      </c>
      <c r="D2" s="125">
        <f>Project!$B$16</f>
        <v>0</v>
      </c>
      <c r="E2" s="125" t="str">
        <f>Project!B6</f>
        <v>Warmtenetten Investeringssubsidie (WIS)</v>
      </c>
      <c r="F2" s="125">
        <f>Project!C16</f>
        <v>0</v>
      </c>
      <c r="G2" s="126">
        <f>Begroting!Q41</f>
        <v>0</v>
      </c>
      <c r="H2" s="126">
        <f>Begroting!Q65</f>
        <v>0</v>
      </c>
      <c r="I2" s="126">
        <f>Begroting!Q87</f>
        <v>0</v>
      </c>
      <c r="J2" s="126">
        <f>Begroting!Q110</f>
        <v>0</v>
      </c>
      <c r="K2" s="126">
        <f>Begroting!Q148</f>
        <v>0</v>
      </c>
      <c r="L2" s="126">
        <f>Begroting!Q173</f>
        <v>0</v>
      </c>
      <c r="M2" s="126">
        <f>Begroting!Q175</f>
        <v>0</v>
      </c>
      <c r="N2" s="126">
        <f>Begroting!Q180</f>
        <v>0</v>
      </c>
      <c r="O2" s="126">
        <f>Begroting!Q194</f>
        <v>0</v>
      </c>
      <c r="P2" s="506">
        <f>Begroting!O209</f>
        <v>0</v>
      </c>
      <c r="Q2" s="126">
        <f>Begroting!Q207</f>
        <v>0</v>
      </c>
      <c r="R2" s="126">
        <f>Begroting!Q208</f>
        <v>0</v>
      </c>
      <c r="S2" s="126">
        <f>Begroting!Q209</f>
        <v>0</v>
      </c>
      <c r="T2" s="126">
        <f>Begroting!Q212</f>
        <v>0</v>
      </c>
      <c r="U2" s="357">
        <f>(SUM('ORT Berekening'!J175:AN175)+SUM('ORT Berekening'!J170:AN170))/COUNT('ORT Berekening'!J6:AN6)</f>
        <v>0</v>
      </c>
    </row>
    <row r="5" spans="1:22" x14ac:dyDescent="0.25">
      <c r="U5" s="488"/>
    </row>
  </sheetData>
  <sheetProtection algorithmName="SHA-512" hashValue="2tQ6u0nhG62Xd3fPDB5//SrE/LDaKX5daJY5ELzG2LCShLgBiZjyNwt2EMSxLcUOymizW1kyE9BMKY/KB225mw==" saltValue="HN/FJ4vp1jUW2+qcuaRAaw==" spinCount="100000" sheet="1" selectLockedCells="1"/>
  <phoneticPr fontId="6" type="noConversion"/>
  <pageMargins left="0.75" right="0.75" top="1" bottom="1" header="0.5" footer="0.5"/>
  <pageSetup paperSize="9" scale="4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B09B6-B0F4-41EF-9FF2-5A6C9A516102}">
  <sheetPr>
    <tabColor rgb="FF7030A0"/>
  </sheetPr>
  <dimension ref="B2:R83"/>
  <sheetViews>
    <sheetView topLeftCell="A31" workbookViewId="0">
      <selection activeCell="C83" sqref="C83"/>
    </sheetView>
  </sheetViews>
  <sheetFormatPr defaultColWidth="9.1796875" defaultRowHeight="12.5" x14ac:dyDescent="0.25"/>
  <cols>
    <col min="3" max="18" width="15.1796875" customWidth="1"/>
  </cols>
  <sheetData>
    <row r="2" spans="2:18" x14ac:dyDescent="0.25">
      <c r="B2" s="469" t="s">
        <v>244</v>
      </c>
      <c r="C2" s="469">
        <v>1</v>
      </c>
      <c r="D2" s="469">
        <v>2</v>
      </c>
      <c r="E2" s="469">
        <v>3</v>
      </c>
      <c r="F2" s="469">
        <v>4</v>
      </c>
      <c r="G2" s="469">
        <v>5</v>
      </c>
      <c r="H2" s="469">
        <v>6</v>
      </c>
      <c r="I2" s="469">
        <v>7</v>
      </c>
      <c r="J2" s="469">
        <v>8</v>
      </c>
      <c r="K2" s="469">
        <v>9</v>
      </c>
      <c r="L2" s="469">
        <v>10</v>
      </c>
      <c r="M2" s="469">
        <v>11</v>
      </c>
      <c r="N2" s="469">
        <v>12</v>
      </c>
      <c r="O2" s="469">
        <v>13</v>
      </c>
      <c r="P2" s="469">
        <v>14</v>
      </c>
      <c r="Q2" s="469">
        <v>15</v>
      </c>
      <c r="R2" s="14"/>
    </row>
    <row r="3" spans="2:18" x14ac:dyDescent="0.25">
      <c r="B3" s="470">
        <f>'ORT Berekening'!J5</f>
        <v>1900</v>
      </c>
      <c r="C3" s="365" t="b">
        <f>AND(YEAR(Mijlpalenbegroting!C$24)&lt;=$B3,YEAR(Mijlpalenbegroting!C$25)&gt;=$B3)</f>
        <v>1</v>
      </c>
      <c r="D3" s="366" t="b">
        <f>AND(YEAR(Mijlpalenbegroting!D$24)&lt;=$B3,YEAR(Mijlpalenbegroting!D$25)&gt;=$B3)</f>
        <v>1</v>
      </c>
      <c r="E3" s="366" t="b">
        <f>AND(YEAR(Mijlpalenbegroting!E$24)&lt;=$B3,YEAR(Mijlpalenbegroting!E$25)&gt;=$B3)</f>
        <v>1</v>
      </c>
      <c r="F3" s="366" t="b">
        <f>AND(YEAR(Mijlpalenbegroting!F$24)&lt;=$B3,YEAR(Mijlpalenbegroting!F$25)&gt;=$B3)</f>
        <v>1</v>
      </c>
      <c r="G3" s="366" t="b">
        <f>AND(YEAR(Mijlpalenbegroting!G$24)&lt;=$B3,YEAR(Mijlpalenbegroting!G$25)&gt;=$B3)</f>
        <v>1</v>
      </c>
      <c r="H3" s="366" t="b">
        <f>AND(YEAR(Mijlpalenbegroting!H$24)&lt;=$B3,YEAR(Mijlpalenbegroting!H$25)&gt;=$B3)</f>
        <v>1</v>
      </c>
      <c r="I3" s="366" t="b">
        <f>AND(YEAR(Mijlpalenbegroting!I$24)&lt;=$B3,YEAR(Mijlpalenbegroting!I$25)&gt;=$B3)</f>
        <v>1</v>
      </c>
      <c r="J3" s="366" t="b">
        <f>AND(YEAR(Mijlpalenbegroting!J$24)&lt;=$B3,YEAR(Mijlpalenbegroting!J$25)&gt;=$B3)</f>
        <v>1</v>
      </c>
      <c r="K3" s="366" t="b">
        <f>AND(YEAR(Mijlpalenbegroting!K$24)&lt;=$B3,YEAR(Mijlpalenbegroting!K$25)&gt;=$B3)</f>
        <v>1</v>
      </c>
      <c r="L3" s="366" t="b">
        <f>AND(YEAR(Mijlpalenbegroting!L$24)&lt;=$B3,YEAR(Mijlpalenbegroting!L$25)&gt;=$B3)</f>
        <v>1</v>
      </c>
      <c r="M3" s="366" t="b">
        <f>AND(YEAR(Mijlpalenbegroting!M$24)&lt;=$B3,YEAR(Mijlpalenbegroting!M$25)&gt;=$B3)</f>
        <v>1</v>
      </c>
      <c r="N3" s="366" t="b">
        <f>AND(YEAR(Mijlpalenbegroting!N$24)&lt;=$B3,YEAR(Mijlpalenbegroting!N$25)&gt;=$B3)</f>
        <v>1</v>
      </c>
      <c r="O3" s="366" t="b">
        <f>AND(YEAR(Mijlpalenbegroting!O$24)&lt;=$B3,YEAR(Mijlpalenbegroting!O$25)&gt;=$B3)</f>
        <v>1</v>
      </c>
      <c r="P3" s="366" t="b">
        <f>AND(YEAR(Mijlpalenbegroting!P$24)&lt;=$B3,YEAR(Mijlpalenbegroting!P$25)&gt;=$B3)</f>
        <v>1</v>
      </c>
      <c r="Q3" s="467" t="b">
        <f>AND(YEAR(Mijlpalenbegroting!Q$24)&lt;=$B3,YEAR(Mijlpalenbegroting!Q$25)&gt;=$B3)</f>
        <v>1</v>
      </c>
      <c r="R3" s="14"/>
    </row>
    <row r="4" spans="2:18" x14ac:dyDescent="0.25">
      <c r="B4" s="470">
        <f t="shared" ref="B4:B12" si="0">B3+1</f>
        <v>1901</v>
      </c>
      <c r="C4" s="367" t="b">
        <f>AND(YEAR(Mijlpalenbegroting!C$24)&lt;=$B4,YEAR(Mijlpalenbegroting!C$25)&gt;=$B4)</f>
        <v>0</v>
      </c>
      <c r="D4" s="14" t="b">
        <f>AND(YEAR(Mijlpalenbegroting!D$24)&lt;=$B4,YEAR(Mijlpalenbegroting!D$25)&gt;=$B4)</f>
        <v>0</v>
      </c>
      <c r="E4" s="14" t="b">
        <f>AND(YEAR(Mijlpalenbegroting!E$24)&lt;=$B4,YEAR(Mijlpalenbegroting!E$25)&gt;=$B4)</f>
        <v>0</v>
      </c>
      <c r="F4" s="14" t="b">
        <f>AND(YEAR(Mijlpalenbegroting!F$24)&lt;=$B4,YEAR(Mijlpalenbegroting!F$25)&gt;=$B4)</f>
        <v>0</v>
      </c>
      <c r="G4" s="14" t="b">
        <f>AND(YEAR(Mijlpalenbegroting!G$24)&lt;=$B4,YEAR(Mijlpalenbegroting!G$25)&gt;=$B4)</f>
        <v>0</v>
      </c>
      <c r="H4" s="14" t="b">
        <f>AND(YEAR(Mijlpalenbegroting!H$24)&lt;=$B4,YEAR(Mijlpalenbegroting!H$25)&gt;=$B4)</f>
        <v>0</v>
      </c>
      <c r="I4" s="14" t="b">
        <f>AND(YEAR(Mijlpalenbegroting!I$24)&lt;=$B4,YEAR(Mijlpalenbegroting!I$25)&gt;=$B4)</f>
        <v>0</v>
      </c>
      <c r="J4" s="14" t="b">
        <f>AND(YEAR(Mijlpalenbegroting!J$24)&lt;=$B4,YEAR(Mijlpalenbegroting!J$25)&gt;=$B4)</f>
        <v>0</v>
      </c>
      <c r="K4" s="14" t="b">
        <f>AND(YEAR(Mijlpalenbegroting!K$24)&lt;=$B4,YEAR(Mijlpalenbegroting!K$25)&gt;=$B4)</f>
        <v>0</v>
      </c>
      <c r="L4" s="14" t="b">
        <f>AND(YEAR(Mijlpalenbegroting!L$24)&lt;=$B4,YEAR(Mijlpalenbegroting!L$25)&gt;=$B4)</f>
        <v>0</v>
      </c>
      <c r="M4" s="14" t="b">
        <f>AND(YEAR(Mijlpalenbegroting!M$24)&lt;=$B4,YEAR(Mijlpalenbegroting!M$25)&gt;=$B4)</f>
        <v>0</v>
      </c>
      <c r="N4" s="14" t="b">
        <f>AND(YEAR(Mijlpalenbegroting!N$24)&lt;=$B4,YEAR(Mijlpalenbegroting!N$25)&gt;=$B4)</f>
        <v>0</v>
      </c>
      <c r="O4" s="14" t="b">
        <f>AND(YEAR(Mijlpalenbegroting!O$24)&lt;=$B4,YEAR(Mijlpalenbegroting!O$25)&gt;=$B4)</f>
        <v>0</v>
      </c>
      <c r="P4" s="14" t="b">
        <f>AND(YEAR(Mijlpalenbegroting!P$24)&lt;=$B4,YEAR(Mijlpalenbegroting!P$25)&gt;=$B4)</f>
        <v>0</v>
      </c>
      <c r="Q4" s="368" t="b">
        <f>AND(YEAR(Mijlpalenbegroting!Q$24)&lt;=$B4,YEAR(Mijlpalenbegroting!Q$25)&gt;=$B4)</f>
        <v>0</v>
      </c>
      <c r="R4" s="14"/>
    </row>
    <row r="5" spans="2:18" x14ac:dyDescent="0.25">
      <c r="B5" s="470">
        <f t="shared" si="0"/>
        <v>1902</v>
      </c>
      <c r="C5" s="367" t="b">
        <f>AND(YEAR(Mijlpalenbegroting!C$24)&lt;=$B5,YEAR(Mijlpalenbegroting!C$25)&gt;=$B5)</f>
        <v>0</v>
      </c>
      <c r="D5" s="14" t="b">
        <f>AND(YEAR(Mijlpalenbegroting!D$24)&lt;=$B5,YEAR(Mijlpalenbegroting!D$25)&gt;=$B5)</f>
        <v>0</v>
      </c>
      <c r="E5" s="14" t="b">
        <f>AND(YEAR(Mijlpalenbegroting!E$24)&lt;=$B5,YEAR(Mijlpalenbegroting!E$25)&gt;=$B5)</f>
        <v>0</v>
      </c>
      <c r="F5" s="14" t="b">
        <f>AND(YEAR(Mijlpalenbegroting!F$24)&lt;=$B5,YEAR(Mijlpalenbegroting!F$25)&gt;=$B5)</f>
        <v>0</v>
      </c>
      <c r="G5" s="14" t="b">
        <f>AND(YEAR(Mijlpalenbegroting!G$24)&lt;=$B5,YEAR(Mijlpalenbegroting!G$25)&gt;=$B5)</f>
        <v>0</v>
      </c>
      <c r="H5" s="14" t="b">
        <f>AND(YEAR(Mijlpalenbegroting!H$24)&lt;=$B5,YEAR(Mijlpalenbegroting!H$25)&gt;=$B5)</f>
        <v>0</v>
      </c>
      <c r="I5" s="14" t="b">
        <f>AND(YEAR(Mijlpalenbegroting!I$24)&lt;=$B5,YEAR(Mijlpalenbegroting!I$25)&gt;=$B5)</f>
        <v>0</v>
      </c>
      <c r="J5" s="14" t="b">
        <f>AND(YEAR(Mijlpalenbegroting!J$24)&lt;=$B5,YEAR(Mijlpalenbegroting!J$25)&gt;=$B5)</f>
        <v>0</v>
      </c>
      <c r="K5" s="14" t="b">
        <f>AND(YEAR(Mijlpalenbegroting!K$24)&lt;=$B5,YEAR(Mijlpalenbegroting!K$25)&gt;=$B5)</f>
        <v>0</v>
      </c>
      <c r="L5" s="14" t="b">
        <f>AND(YEAR(Mijlpalenbegroting!L$24)&lt;=$B5,YEAR(Mijlpalenbegroting!L$25)&gt;=$B5)</f>
        <v>0</v>
      </c>
      <c r="M5" s="14" t="b">
        <f>AND(YEAR(Mijlpalenbegroting!M$24)&lt;=$B5,YEAR(Mijlpalenbegroting!M$25)&gt;=$B5)</f>
        <v>0</v>
      </c>
      <c r="N5" s="14" t="b">
        <f>AND(YEAR(Mijlpalenbegroting!N$24)&lt;=$B5,YEAR(Mijlpalenbegroting!N$25)&gt;=$B5)</f>
        <v>0</v>
      </c>
      <c r="O5" s="14" t="b">
        <f>AND(YEAR(Mijlpalenbegroting!O$24)&lt;=$B5,YEAR(Mijlpalenbegroting!O$25)&gt;=$B5)</f>
        <v>0</v>
      </c>
      <c r="P5" s="14" t="b">
        <f>AND(YEAR(Mijlpalenbegroting!P$24)&lt;=$B5,YEAR(Mijlpalenbegroting!P$25)&gt;=$B5)</f>
        <v>0</v>
      </c>
      <c r="Q5" s="368" t="b">
        <f>AND(YEAR(Mijlpalenbegroting!Q$24)&lt;=$B5,YEAR(Mijlpalenbegroting!Q$25)&gt;=$B5)</f>
        <v>0</v>
      </c>
      <c r="R5" s="14"/>
    </row>
    <row r="6" spans="2:18" x14ac:dyDescent="0.25">
      <c r="B6" s="470">
        <f t="shared" si="0"/>
        <v>1903</v>
      </c>
      <c r="C6" s="367" t="b">
        <f>AND(YEAR(Mijlpalenbegroting!C$24)&lt;=$B6,YEAR(Mijlpalenbegroting!C$25)&gt;=$B6)</f>
        <v>0</v>
      </c>
      <c r="D6" s="14" t="b">
        <f>AND(YEAR(Mijlpalenbegroting!D$24)&lt;=$B6,YEAR(Mijlpalenbegroting!D$25)&gt;=$B6)</f>
        <v>0</v>
      </c>
      <c r="E6" s="14" t="b">
        <f>AND(YEAR(Mijlpalenbegroting!E$24)&lt;=$B6,YEAR(Mijlpalenbegroting!E$25)&gt;=$B6)</f>
        <v>0</v>
      </c>
      <c r="F6" s="14" t="b">
        <f>AND(YEAR(Mijlpalenbegroting!F$24)&lt;=$B6,YEAR(Mijlpalenbegroting!F$25)&gt;=$B6)</f>
        <v>0</v>
      </c>
      <c r="G6" s="14" t="b">
        <f>AND(YEAR(Mijlpalenbegroting!G$24)&lt;=$B6,YEAR(Mijlpalenbegroting!G$25)&gt;=$B6)</f>
        <v>0</v>
      </c>
      <c r="H6" s="14" t="b">
        <f>AND(YEAR(Mijlpalenbegroting!H$24)&lt;=$B6,YEAR(Mijlpalenbegroting!H$25)&gt;=$B6)</f>
        <v>0</v>
      </c>
      <c r="I6" s="14" t="b">
        <f>AND(YEAR(Mijlpalenbegroting!I$24)&lt;=$B6,YEAR(Mijlpalenbegroting!I$25)&gt;=$B6)</f>
        <v>0</v>
      </c>
      <c r="J6" s="14" t="b">
        <f>AND(YEAR(Mijlpalenbegroting!J$24)&lt;=$B6,YEAR(Mijlpalenbegroting!J$25)&gt;=$B6)</f>
        <v>0</v>
      </c>
      <c r="K6" s="14" t="b">
        <f>AND(YEAR(Mijlpalenbegroting!K$24)&lt;=$B6,YEAR(Mijlpalenbegroting!K$25)&gt;=$B6)</f>
        <v>0</v>
      </c>
      <c r="L6" s="14" t="b">
        <f>AND(YEAR(Mijlpalenbegroting!L$24)&lt;=$B6,YEAR(Mijlpalenbegroting!L$25)&gt;=$B6)</f>
        <v>0</v>
      </c>
      <c r="M6" s="14" t="b">
        <f>AND(YEAR(Mijlpalenbegroting!M$24)&lt;=$B6,YEAR(Mijlpalenbegroting!M$25)&gt;=$B6)</f>
        <v>0</v>
      </c>
      <c r="N6" s="14" t="b">
        <f>AND(YEAR(Mijlpalenbegroting!N$24)&lt;=$B6,YEAR(Mijlpalenbegroting!N$25)&gt;=$B6)</f>
        <v>0</v>
      </c>
      <c r="O6" s="14" t="b">
        <f>AND(YEAR(Mijlpalenbegroting!O$24)&lt;=$B6,YEAR(Mijlpalenbegroting!O$25)&gt;=$B6)</f>
        <v>0</v>
      </c>
      <c r="P6" s="14" t="b">
        <f>AND(YEAR(Mijlpalenbegroting!P$24)&lt;=$B6,YEAR(Mijlpalenbegroting!P$25)&gt;=$B6)</f>
        <v>0</v>
      </c>
      <c r="Q6" s="368" t="b">
        <f>AND(YEAR(Mijlpalenbegroting!Q$24)&lt;=$B6,YEAR(Mijlpalenbegroting!Q$25)&gt;=$B6)</f>
        <v>0</v>
      </c>
      <c r="R6" s="14"/>
    </row>
    <row r="7" spans="2:18" x14ac:dyDescent="0.25">
      <c r="B7" s="470">
        <f t="shared" si="0"/>
        <v>1904</v>
      </c>
      <c r="C7" s="367" t="b">
        <f>AND(YEAR(Mijlpalenbegroting!C$24)&lt;=$B7,YEAR(Mijlpalenbegroting!C$25)&gt;=$B7)</f>
        <v>0</v>
      </c>
      <c r="D7" s="14" t="b">
        <f>AND(YEAR(Mijlpalenbegroting!D$24)&lt;=$B7,YEAR(Mijlpalenbegroting!D$25)&gt;=$B7)</f>
        <v>0</v>
      </c>
      <c r="E7" s="14" t="b">
        <f>AND(YEAR(Mijlpalenbegroting!E$24)&lt;=$B7,YEAR(Mijlpalenbegroting!E$25)&gt;=$B7)</f>
        <v>0</v>
      </c>
      <c r="F7" s="14" t="b">
        <f>AND(YEAR(Mijlpalenbegroting!F$24)&lt;=$B7,YEAR(Mijlpalenbegroting!F$25)&gt;=$B7)</f>
        <v>0</v>
      </c>
      <c r="G7" s="14" t="b">
        <f>AND(YEAR(Mijlpalenbegroting!G$24)&lt;=$B7,YEAR(Mijlpalenbegroting!G$25)&gt;=$B7)</f>
        <v>0</v>
      </c>
      <c r="H7" s="14" t="b">
        <f>AND(YEAR(Mijlpalenbegroting!H$24)&lt;=$B7,YEAR(Mijlpalenbegroting!H$25)&gt;=$B7)</f>
        <v>0</v>
      </c>
      <c r="I7" s="14" t="b">
        <f>AND(YEAR(Mijlpalenbegroting!I$24)&lt;=$B7,YEAR(Mijlpalenbegroting!I$25)&gt;=$B7)</f>
        <v>0</v>
      </c>
      <c r="J7" s="14" t="b">
        <f>AND(YEAR(Mijlpalenbegroting!J$24)&lt;=$B7,YEAR(Mijlpalenbegroting!J$25)&gt;=$B7)</f>
        <v>0</v>
      </c>
      <c r="K7" s="14" t="b">
        <f>AND(YEAR(Mijlpalenbegroting!K$24)&lt;=$B7,YEAR(Mijlpalenbegroting!K$25)&gt;=$B7)</f>
        <v>0</v>
      </c>
      <c r="L7" s="14" t="b">
        <f>AND(YEAR(Mijlpalenbegroting!L$24)&lt;=$B7,YEAR(Mijlpalenbegroting!L$25)&gt;=$B7)</f>
        <v>0</v>
      </c>
      <c r="M7" s="14" t="b">
        <f>AND(YEAR(Mijlpalenbegroting!M$24)&lt;=$B7,YEAR(Mijlpalenbegroting!M$25)&gt;=$B7)</f>
        <v>0</v>
      </c>
      <c r="N7" s="14" t="b">
        <f>AND(YEAR(Mijlpalenbegroting!N$24)&lt;=$B7,YEAR(Mijlpalenbegroting!N$25)&gt;=$B7)</f>
        <v>0</v>
      </c>
      <c r="O7" s="14" t="b">
        <f>AND(YEAR(Mijlpalenbegroting!O$24)&lt;=$B7,YEAR(Mijlpalenbegroting!O$25)&gt;=$B7)</f>
        <v>0</v>
      </c>
      <c r="P7" s="14" t="b">
        <f>AND(YEAR(Mijlpalenbegroting!P$24)&lt;=$B7,YEAR(Mijlpalenbegroting!P$25)&gt;=$B7)</f>
        <v>0</v>
      </c>
      <c r="Q7" s="368" t="b">
        <f>AND(YEAR(Mijlpalenbegroting!Q$24)&lt;=$B7,YEAR(Mijlpalenbegroting!Q$25)&gt;=$B7)</f>
        <v>0</v>
      </c>
      <c r="R7" s="14"/>
    </row>
    <row r="8" spans="2:18" x14ac:dyDescent="0.25">
      <c r="B8" s="470">
        <f t="shared" si="0"/>
        <v>1905</v>
      </c>
      <c r="C8" s="367" t="b">
        <f>AND(YEAR(Mijlpalenbegroting!C$24)&lt;=$B8,YEAR(Mijlpalenbegroting!C$25)&gt;=$B8)</f>
        <v>0</v>
      </c>
      <c r="D8" s="14" t="b">
        <f>AND(YEAR(Mijlpalenbegroting!D$24)&lt;=$B8,YEAR(Mijlpalenbegroting!D$25)&gt;=$B8)</f>
        <v>0</v>
      </c>
      <c r="E8" s="14" t="b">
        <f>AND(YEAR(Mijlpalenbegroting!E$24)&lt;=$B8,YEAR(Mijlpalenbegroting!E$25)&gt;=$B8)</f>
        <v>0</v>
      </c>
      <c r="F8" s="14" t="b">
        <f>AND(YEAR(Mijlpalenbegroting!F$24)&lt;=$B8,YEAR(Mijlpalenbegroting!F$25)&gt;=$B8)</f>
        <v>0</v>
      </c>
      <c r="G8" s="14" t="b">
        <f>AND(YEAR(Mijlpalenbegroting!G$24)&lt;=$B8,YEAR(Mijlpalenbegroting!G$25)&gt;=$B8)</f>
        <v>0</v>
      </c>
      <c r="H8" s="14" t="b">
        <f>AND(YEAR(Mijlpalenbegroting!H$24)&lt;=$B8,YEAR(Mijlpalenbegroting!H$25)&gt;=$B8)</f>
        <v>0</v>
      </c>
      <c r="I8" s="14" t="b">
        <f>AND(YEAR(Mijlpalenbegroting!I$24)&lt;=$B8,YEAR(Mijlpalenbegroting!I$25)&gt;=$B8)</f>
        <v>0</v>
      </c>
      <c r="J8" s="14" t="b">
        <f>AND(YEAR(Mijlpalenbegroting!J$24)&lt;=$B8,YEAR(Mijlpalenbegroting!J$25)&gt;=$B8)</f>
        <v>0</v>
      </c>
      <c r="K8" s="14" t="b">
        <f>AND(YEAR(Mijlpalenbegroting!K$24)&lt;=$B8,YEAR(Mijlpalenbegroting!K$25)&gt;=$B8)</f>
        <v>0</v>
      </c>
      <c r="L8" s="14" t="b">
        <f>AND(YEAR(Mijlpalenbegroting!L$24)&lt;=$B8,YEAR(Mijlpalenbegroting!L$25)&gt;=$B8)</f>
        <v>0</v>
      </c>
      <c r="M8" s="14" t="b">
        <f>AND(YEAR(Mijlpalenbegroting!M$24)&lt;=$B8,YEAR(Mijlpalenbegroting!M$25)&gt;=$B8)</f>
        <v>0</v>
      </c>
      <c r="N8" s="14" t="b">
        <f>AND(YEAR(Mijlpalenbegroting!N$24)&lt;=$B8,YEAR(Mijlpalenbegroting!N$25)&gt;=$B8)</f>
        <v>0</v>
      </c>
      <c r="O8" s="14" t="b">
        <f>AND(YEAR(Mijlpalenbegroting!O$24)&lt;=$B8,YEAR(Mijlpalenbegroting!O$25)&gt;=$B8)</f>
        <v>0</v>
      </c>
      <c r="P8" s="14" t="b">
        <f>AND(YEAR(Mijlpalenbegroting!P$24)&lt;=$B8,YEAR(Mijlpalenbegroting!P$25)&gt;=$B8)</f>
        <v>0</v>
      </c>
      <c r="Q8" s="368" t="b">
        <f>AND(YEAR(Mijlpalenbegroting!Q$24)&lt;=$B8,YEAR(Mijlpalenbegroting!Q$25)&gt;=$B8)</f>
        <v>0</v>
      </c>
      <c r="R8" s="14"/>
    </row>
    <row r="9" spans="2:18" x14ac:dyDescent="0.25">
      <c r="B9" s="470">
        <f t="shared" si="0"/>
        <v>1906</v>
      </c>
      <c r="C9" s="367" t="b">
        <f>AND(YEAR(Mijlpalenbegroting!C$24)&lt;=$B9,YEAR(Mijlpalenbegroting!C$25)&gt;=$B9)</f>
        <v>0</v>
      </c>
      <c r="D9" s="14" t="b">
        <f>AND(YEAR(Mijlpalenbegroting!D$24)&lt;=$B9,YEAR(Mijlpalenbegroting!D$25)&gt;=$B9)</f>
        <v>0</v>
      </c>
      <c r="E9" s="14" t="b">
        <f>AND(YEAR(Mijlpalenbegroting!E$24)&lt;=$B9,YEAR(Mijlpalenbegroting!E$25)&gt;=$B9)</f>
        <v>0</v>
      </c>
      <c r="F9" s="14" t="b">
        <f>AND(YEAR(Mijlpalenbegroting!F$24)&lt;=$B9,YEAR(Mijlpalenbegroting!F$25)&gt;=$B9)</f>
        <v>0</v>
      </c>
      <c r="G9" s="14" t="b">
        <f>AND(YEAR(Mijlpalenbegroting!G$24)&lt;=$B9,YEAR(Mijlpalenbegroting!G$25)&gt;=$B9)</f>
        <v>0</v>
      </c>
      <c r="H9" s="14" t="b">
        <f>AND(YEAR(Mijlpalenbegroting!H$24)&lt;=$B9,YEAR(Mijlpalenbegroting!H$25)&gt;=$B9)</f>
        <v>0</v>
      </c>
      <c r="I9" s="14" t="b">
        <f>AND(YEAR(Mijlpalenbegroting!I$24)&lt;=$B9,YEAR(Mijlpalenbegroting!I$25)&gt;=$B9)</f>
        <v>0</v>
      </c>
      <c r="J9" s="14" t="b">
        <f>AND(YEAR(Mijlpalenbegroting!J$24)&lt;=$B9,YEAR(Mijlpalenbegroting!J$25)&gt;=$B9)</f>
        <v>0</v>
      </c>
      <c r="K9" s="14" t="b">
        <f>AND(YEAR(Mijlpalenbegroting!K$24)&lt;=$B9,YEAR(Mijlpalenbegroting!K$25)&gt;=$B9)</f>
        <v>0</v>
      </c>
      <c r="L9" s="14" t="b">
        <f>AND(YEAR(Mijlpalenbegroting!L$24)&lt;=$B9,YEAR(Mijlpalenbegroting!L$25)&gt;=$B9)</f>
        <v>0</v>
      </c>
      <c r="M9" s="14" t="b">
        <f>AND(YEAR(Mijlpalenbegroting!M$24)&lt;=$B9,YEAR(Mijlpalenbegroting!M$25)&gt;=$B9)</f>
        <v>0</v>
      </c>
      <c r="N9" s="14" t="b">
        <f>AND(YEAR(Mijlpalenbegroting!N$24)&lt;=$B9,YEAR(Mijlpalenbegroting!N$25)&gt;=$B9)</f>
        <v>0</v>
      </c>
      <c r="O9" s="14" t="b">
        <f>AND(YEAR(Mijlpalenbegroting!O$24)&lt;=$B9,YEAR(Mijlpalenbegroting!O$25)&gt;=$B9)</f>
        <v>0</v>
      </c>
      <c r="P9" s="14" t="b">
        <f>AND(YEAR(Mijlpalenbegroting!P$24)&lt;=$B9,YEAR(Mijlpalenbegroting!P$25)&gt;=$B9)</f>
        <v>0</v>
      </c>
      <c r="Q9" s="368" t="b">
        <f>AND(YEAR(Mijlpalenbegroting!Q$24)&lt;=$B9,YEAR(Mijlpalenbegroting!Q$25)&gt;=$B9)</f>
        <v>0</v>
      </c>
      <c r="R9" s="14"/>
    </row>
    <row r="10" spans="2:18" x14ac:dyDescent="0.25">
      <c r="B10" s="470">
        <f t="shared" si="0"/>
        <v>1907</v>
      </c>
      <c r="C10" s="367" t="b">
        <f>AND(YEAR(Mijlpalenbegroting!C$24)&lt;=$B10,YEAR(Mijlpalenbegroting!C$25)&gt;=$B10)</f>
        <v>0</v>
      </c>
      <c r="D10" s="14" t="b">
        <f>AND(YEAR(Mijlpalenbegroting!D$24)&lt;=$B10,YEAR(Mijlpalenbegroting!D$25)&gt;=$B10)</f>
        <v>0</v>
      </c>
      <c r="E10" s="14" t="b">
        <f>AND(YEAR(Mijlpalenbegroting!E$24)&lt;=$B10,YEAR(Mijlpalenbegroting!E$25)&gt;=$B10)</f>
        <v>0</v>
      </c>
      <c r="F10" s="14" t="b">
        <f>AND(YEAR(Mijlpalenbegroting!F$24)&lt;=$B10,YEAR(Mijlpalenbegroting!F$25)&gt;=$B10)</f>
        <v>0</v>
      </c>
      <c r="G10" s="14" t="b">
        <f>AND(YEAR(Mijlpalenbegroting!G$24)&lt;=$B10,YEAR(Mijlpalenbegroting!G$25)&gt;=$B10)</f>
        <v>0</v>
      </c>
      <c r="H10" s="14" t="b">
        <f>AND(YEAR(Mijlpalenbegroting!H$24)&lt;=$B10,YEAR(Mijlpalenbegroting!H$25)&gt;=$B10)</f>
        <v>0</v>
      </c>
      <c r="I10" s="14" t="b">
        <f>AND(YEAR(Mijlpalenbegroting!I$24)&lt;=$B10,YEAR(Mijlpalenbegroting!I$25)&gt;=$B10)</f>
        <v>0</v>
      </c>
      <c r="J10" s="14" t="b">
        <f>AND(YEAR(Mijlpalenbegroting!J$24)&lt;=$B10,YEAR(Mijlpalenbegroting!J$25)&gt;=$B10)</f>
        <v>0</v>
      </c>
      <c r="K10" s="14" t="b">
        <f>AND(YEAR(Mijlpalenbegroting!K$24)&lt;=$B10,YEAR(Mijlpalenbegroting!K$25)&gt;=$B10)</f>
        <v>0</v>
      </c>
      <c r="L10" s="14" t="b">
        <f>AND(YEAR(Mijlpalenbegroting!L$24)&lt;=$B10,YEAR(Mijlpalenbegroting!L$25)&gt;=$B10)</f>
        <v>0</v>
      </c>
      <c r="M10" s="14" t="b">
        <f>AND(YEAR(Mijlpalenbegroting!M$24)&lt;=$B10,YEAR(Mijlpalenbegroting!M$25)&gt;=$B10)</f>
        <v>0</v>
      </c>
      <c r="N10" s="14" t="b">
        <f>AND(YEAR(Mijlpalenbegroting!N$24)&lt;=$B10,YEAR(Mijlpalenbegroting!N$25)&gt;=$B10)</f>
        <v>0</v>
      </c>
      <c r="O10" s="14" t="b">
        <f>AND(YEAR(Mijlpalenbegroting!O$24)&lt;=$B10,YEAR(Mijlpalenbegroting!O$25)&gt;=$B10)</f>
        <v>0</v>
      </c>
      <c r="P10" s="14" t="b">
        <f>AND(YEAR(Mijlpalenbegroting!P$24)&lt;=$B10,YEAR(Mijlpalenbegroting!P$25)&gt;=$B10)</f>
        <v>0</v>
      </c>
      <c r="Q10" s="368" t="b">
        <f>AND(YEAR(Mijlpalenbegroting!Q$24)&lt;=$B10,YEAR(Mijlpalenbegroting!Q$25)&gt;=$B10)</f>
        <v>0</v>
      </c>
      <c r="R10" s="14"/>
    </row>
    <row r="11" spans="2:18" x14ac:dyDescent="0.25">
      <c r="B11" s="470">
        <f t="shared" si="0"/>
        <v>1908</v>
      </c>
      <c r="C11" s="367" t="b">
        <f>AND(YEAR(Mijlpalenbegroting!C$24)&lt;=$B11,YEAR(Mijlpalenbegroting!C$25)&gt;=$B11)</f>
        <v>0</v>
      </c>
      <c r="D11" s="14" t="b">
        <f>AND(YEAR(Mijlpalenbegroting!D$24)&lt;=$B11,YEAR(Mijlpalenbegroting!D$25)&gt;=$B11)</f>
        <v>0</v>
      </c>
      <c r="E11" s="14" t="b">
        <f>AND(YEAR(Mijlpalenbegroting!E$24)&lt;=$B11,YEAR(Mijlpalenbegroting!E$25)&gt;=$B11)</f>
        <v>0</v>
      </c>
      <c r="F11" s="14" t="b">
        <f>AND(YEAR(Mijlpalenbegroting!F$24)&lt;=$B11,YEAR(Mijlpalenbegroting!F$25)&gt;=$B11)</f>
        <v>0</v>
      </c>
      <c r="G11" s="14" t="b">
        <f>AND(YEAR(Mijlpalenbegroting!G$24)&lt;=$B11,YEAR(Mijlpalenbegroting!G$25)&gt;=$B11)</f>
        <v>0</v>
      </c>
      <c r="H11" s="14" t="b">
        <f>AND(YEAR(Mijlpalenbegroting!H$24)&lt;=$B11,YEAR(Mijlpalenbegroting!H$25)&gt;=$B11)</f>
        <v>0</v>
      </c>
      <c r="I11" s="14" t="b">
        <f>AND(YEAR(Mijlpalenbegroting!I$24)&lt;=$B11,YEAR(Mijlpalenbegroting!I$25)&gt;=$B11)</f>
        <v>0</v>
      </c>
      <c r="J11" s="14" t="b">
        <f>AND(YEAR(Mijlpalenbegroting!J$24)&lt;=$B11,YEAR(Mijlpalenbegroting!J$25)&gt;=$B11)</f>
        <v>0</v>
      </c>
      <c r="K11" s="14" t="b">
        <f>AND(YEAR(Mijlpalenbegroting!K$24)&lt;=$B11,YEAR(Mijlpalenbegroting!K$25)&gt;=$B11)</f>
        <v>0</v>
      </c>
      <c r="L11" s="14" t="b">
        <f>AND(YEAR(Mijlpalenbegroting!L$24)&lt;=$B11,YEAR(Mijlpalenbegroting!L$25)&gt;=$B11)</f>
        <v>0</v>
      </c>
      <c r="M11" s="14" t="b">
        <f>AND(YEAR(Mijlpalenbegroting!M$24)&lt;=$B11,YEAR(Mijlpalenbegroting!M$25)&gt;=$B11)</f>
        <v>0</v>
      </c>
      <c r="N11" s="14" t="b">
        <f>AND(YEAR(Mijlpalenbegroting!N$24)&lt;=$B11,YEAR(Mijlpalenbegroting!N$25)&gt;=$B11)</f>
        <v>0</v>
      </c>
      <c r="O11" s="14" t="b">
        <f>AND(YEAR(Mijlpalenbegroting!O$24)&lt;=$B11,YEAR(Mijlpalenbegroting!O$25)&gt;=$B11)</f>
        <v>0</v>
      </c>
      <c r="P11" s="14" t="b">
        <f>AND(YEAR(Mijlpalenbegroting!P$24)&lt;=$B11,YEAR(Mijlpalenbegroting!P$25)&gt;=$B11)</f>
        <v>0</v>
      </c>
      <c r="Q11" s="368" t="b">
        <f>AND(YEAR(Mijlpalenbegroting!Q$24)&lt;=$B11,YEAR(Mijlpalenbegroting!Q$25)&gt;=$B11)</f>
        <v>0</v>
      </c>
      <c r="R11" s="14"/>
    </row>
    <row r="12" spans="2:18" x14ac:dyDescent="0.25">
      <c r="B12" s="470">
        <f t="shared" si="0"/>
        <v>1909</v>
      </c>
      <c r="C12" s="369" t="b">
        <f>AND(YEAR(Mijlpalenbegroting!C$24)&lt;=$B12,YEAR(Mijlpalenbegroting!C$25)&gt;=$B12)</f>
        <v>0</v>
      </c>
      <c r="D12" s="51" t="b">
        <f>AND(YEAR(Mijlpalenbegroting!D$24)&lt;=$B12,YEAR(Mijlpalenbegroting!D$25)&gt;=$B12)</f>
        <v>0</v>
      </c>
      <c r="E12" s="51" t="b">
        <f>AND(YEAR(Mijlpalenbegroting!E$24)&lt;=$B12,YEAR(Mijlpalenbegroting!E$25)&gt;=$B12)</f>
        <v>0</v>
      </c>
      <c r="F12" s="51" t="b">
        <f>AND(YEAR(Mijlpalenbegroting!F$24)&lt;=$B12,YEAR(Mijlpalenbegroting!F$25)&gt;=$B12)</f>
        <v>0</v>
      </c>
      <c r="G12" s="51" t="b">
        <f>AND(YEAR(Mijlpalenbegroting!G$24)&lt;=$B12,YEAR(Mijlpalenbegroting!G$25)&gt;=$B12)</f>
        <v>0</v>
      </c>
      <c r="H12" s="51" t="b">
        <f>AND(YEAR(Mijlpalenbegroting!H$24)&lt;=$B12,YEAR(Mijlpalenbegroting!H$25)&gt;=$B12)</f>
        <v>0</v>
      </c>
      <c r="I12" s="51" t="b">
        <f>AND(YEAR(Mijlpalenbegroting!I$24)&lt;=$B12,YEAR(Mijlpalenbegroting!I$25)&gt;=$B12)</f>
        <v>0</v>
      </c>
      <c r="J12" s="51" t="b">
        <f>AND(YEAR(Mijlpalenbegroting!J$24)&lt;=$B12,YEAR(Mijlpalenbegroting!J$25)&gt;=$B12)</f>
        <v>0</v>
      </c>
      <c r="K12" s="51" t="b">
        <f>AND(YEAR(Mijlpalenbegroting!K$24)&lt;=$B12,YEAR(Mijlpalenbegroting!K$25)&gt;=$B12)</f>
        <v>0</v>
      </c>
      <c r="L12" s="51" t="b">
        <f>AND(YEAR(Mijlpalenbegroting!L$24)&lt;=$B12,YEAR(Mijlpalenbegroting!L$25)&gt;=$B12)</f>
        <v>0</v>
      </c>
      <c r="M12" s="51" t="b">
        <f>AND(YEAR(Mijlpalenbegroting!M$24)&lt;=$B12,YEAR(Mijlpalenbegroting!M$25)&gt;=$B12)</f>
        <v>0</v>
      </c>
      <c r="N12" s="51" t="b">
        <f>AND(YEAR(Mijlpalenbegroting!N$24)&lt;=$B12,YEAR(Mijlpalenbegroting!N$25)&gt;=$B12)</f>
        <v>0</v>
      </c>
      <c r="O12" s="51" t="b">
        <f>AND(YEAR(Mijlpalenbegroting!O$24)&lt;=$B12,YEAR(Mijlpalenbegroting!O$25)&gt;=$B12)</f>
        <v>0</v>
      </c>
      <c r="P12" s="51" t="b">
        <f>AND(YEAR(Mijlpalenbegroting!P$24)&lt;=$B12,YEAR(Mijlpalenbegroting!P$25)&gt;=$B12)</f>
        <v>0</v>
      </c>
      <c r="Q12" s="370" t="b">
        <f>AND(YEAR(Mijlpalenbegroting!Q$24)&lt;=$B12,YEAR(Mijlpalenbegroting!Q$25)&gt;=$B12)</f>
        <v>0</v>
      </c>
      <c r="R12" s="14"/>
    </row>
    <row r="13" spans="2:18" x14ac:dyDescent="0.25">
      <c r="B13" s="470"/>
      <c r="C13" s="14"/>
      <c r="D13" s="14"/>
      <c r="E13" s="14"/>
      <c r="F13" s="14"/>
      <c r="G13" s="14"/>
      <c r="H13" s="14"/>
      <c r="I13" s="14"/>
      <c r="J13" s="14"/>
      <c r="K13" s="14"/>
      <c r="L13" s="14"/>
      <c r="M13" s="14"/>
      <c r="N13" s="14"/>
      <c r="O13" s="14"/>
      <c r="P13" s="14"/>
      <c r="Q13" s="14"/>
      <c r="R13" s="14"/>
    </row>
    <row r="14" spans="2:18" x14ac:dyDescent="0.25">
      <c r="B14" s="470">
        <f t="shared" ref="B14:B23" si="1">B3</f>
        <v>1900</v>
      </c>
      <c r="C14" s="365">
        <f>IF(C3,YEARFRAC(MAX(Mijlpalenbegroting!C$24,DATE($B14,1,1)),MIN(DATE($B14,12,31),Mijlpalenbegroting!C$25+1),),0)</f>
        <v>0</v>
      </c>
      <c r="D14" s="366">
        <f>IF(D3,YEARFRAC(MAX(Mijlpalenbegroting!D$24,DATE($B14,1,1)),MIN(DATE($B14,12,31),Mijlpalenbegroting!D$25+1),),0)</f>
        <v>0</v>
      </c>
      <c r="E14" s="366">
        <f>IF(E3,YEARFRAC(MAX(Mijlpalenbegroting!E$24,DATE($B14,1,1)),MIN(DATE($B14,12,31),Mijlpalenbegroting!E$25+1),),0)</f>
        <v>0</v>
      </c>
      <c r="F14" s="366">
        <f>IF(F3,YEARFRAC(MAX(Mijlpalenbegroting!F$24,DATE($B14,1,1)),MIN(DATE($B14,12,31),Mijlpalenbegroting!F$25+1),),0)</f>
        <v>0</v>
      </c>
      <c r="G14" s="366">
        <f>IF(G3,YEARFRAC(MAX(Mijlpalenbegroting!G$24,DATE($B14,1,1)),MIN(DATE($B14,12,31),Mijlpalenbegroting!G$25+1),),0)</f>
        <v>0</v>
      </c>
      <c r="H14" s="366">
        <f>IF(H3,YEARFRAC(MAX(Mijlpalenbegroting!H$24,DATE($B14,1,1)),MIN(DATE($B14,12,31),Mijlpalenbegroting!H$25+1),),0)</f>
        <v>0</v>
      </c>
      <c r="I14" s="366">
        <f>IF(I3,YEARFRAC(MAX(Mijlpalenbegroting!I$24,DATE($B14,1,1)),MIN(DATE($B14,12,31),Mijlpalenbegroting!I$25+1),),0)</f>
        <v>0</v>
      </c>
      <c r="J14" s="366">
        <f>IF(J3,YEARFRAC(MAX(Mijlpalenbegroting!J$24,DATE($B14,1,1)),MIN(DATE($B14,12,31),Mijlpalenbegroting!J$25+1),),0)</f>
        <v>0</v>
      </c>
      <c r="K14" s="366">
        <f>IF(K3,YEARFRAC(MAX(Mijlpalenbegroting!K$24,DATE($B14,1,1)),MIN(DATE($B14,12,31),Mijlpalenbegroting!K$25+1),),0)</f>
        <v>0</v>
      </c>
      <c r="L14" s="366">
        <f>IF(L3,YEARFRAC(MAX(Mijlpalenbegroting!L$24,DATE($B14,1,1)),MIN(DATE($B14,12,31),Mijlpalenbegroting!L$25+1),),0)</f>
        <v>0</v>
      </c>
      <c r="M14" s="366">
        <f>IF(M3,YEARFRAC(MAX(Mijlpalenbegroting!M$24,DATE($B14,1,1)),MIN(DATE($B14,12,31),Mijlpalenbegroting!M$25+1),),0)</f>
        <v>0</v>
      </c>
      <c r="N14" s="366">
        <f>IF(N3,YEARFRAC(MAX(Mijlpalenbegroting!N$24,DATE($B14,1,1)),MIN(DATE($B14,12,31),Mijlpalenbegroting!N$25+1),),0)</f>
        <v>0</v>
      </c>
      <c r="O14" s="366">
        <f>IF(O3,YEARFRAC(MAX(Mijlpalenbegroting!O$24,DATE($B14,1,1)),MIN(DATE($B14,12,31),Mijlpalenbegroting!O$25+1),),0)</f>
        <v>0</v>
      </c>
      <c r="P14" s="366">
        <f>IF(P3,YEARFRAC(MAX(Mijlpalenbegroting!P$24,DATE($B14,1,1)),MIN(DATE($B14,12,31),Mijlpalenbegroting!P$25+1),),0)</f>
        <v>0</v>
      </c>
      <c r="Q14" s="467">
        <f>IF(Q3,YEARFRAC(MAX(Mijlpalenbegroting!Q$24,DATE($B14,1,1)),MIN(DATE($B14,12,31),Mijlpalenbegroting!Q$25+1),),0)</f>
        <v>0</v>
      </c>
      <c r="R14" s="14"/>
    </row>
    <row r="15" spans="2:18" x14ac:dyDescent="0.25">
      <c r="B15" s="470">
        <f t="shared" si="1"/>
        <v>1901</v>
      </c>
      <c r="C15" s="367">
        <f>IF(C4,YEARFRAC(MAX(Mijlpalenbegroting!C$24,DATE($B15,1,1)),MIN(DATE($B15,12,31),Mijlpalenbegroting!C$25+1),),0)</f>
        <v>0</v>
      </c>
      <c r="D15" s="14">
        <f>IF(D4,YEARFRAC(MAX(Mijlpalenbegroting!D$24,DATE($B15,1,1)),MIN(DATE($B15,12,31),Mijlpalenbegroting!D$25+1),),0)</f>
        <v>0</v>
      </c>
      <c r="E15" s="14">
        <f>IF(E4,YEARFRAC(MAX(Mijlpalenbegroting!E$24,DATE($B15,1,1)),MIN(DATE($B15,12,31),Mijlpalenbegroting!E$25+1),),0)</f>
        <v>0</v>
      </c>
      <c r="F15" s="14">
        <f>IF(F4,YEARFRAC(MAX(Mijlpalenbegroting!F$24,DATE($B15,1,1)),MIN(DATE($B15,12,31),Mijlpalenbegroting!F$25+1),),0)</f>
        <v>0</v>
      </c>
      <c r="G15" s="14">
        <f>IF(G4,YEARFRAC(MAX(Mijlpalenbegroting!G$24,DATE($B15,1,1)),MIN(DATE($B15,12,31),Mijlpalenbegroting!G$25+1),),0)</f>
        <v>0</v>
      </c>
      <c r="H15" s="14">
        <f>IF(H4,YEARFRAC(MAX(Mijlpalenbegroting!H$24,DATE($B15,1,1)),MIN(DATE($B15,12,31),Mijlpalenbegroting!H$25+1),),0)</f>
        <v>0</v>
      </c>
      <c r="I15" s="14">
        <f>IF(I4,YEARFRAC(MAX(Mijlpalenbegroting!I$24,DATE($B15,1,1)),MIN(DATE($B15,12,31),Mijlpalenbegroting!I$25+1),),0)</f>
        <v>0</v>
      </c>
      <c r="J15" s="14">
        <f>IF(J4,YEARFRAC(MAX(Mijlpalenbegroting!J$24,DATE($B15,1,1)),MIN(DATE($B15,12,31),Mijlpalenbegroting!J$25+1),),0)</f>
        <v>0</v>
      </c>
      <c r="K15" s="14">
        <f>IF(K4,YEARFRAC(MAX(Mijlpalenbegroting!K$24,DATE($B15,1,1)),MIN(DATE($B15,12,31),Mijlpalenbegroting!K$25+1),),0)</f>
        <v>0</v>
      </c>
      <c r="L15" s="14">
        <f>IF(L4,YEARFRAC(MAX(Mijlpalenbegroting!L$24,DATE($B15,1,1)),MIN(DATE($B15,12,31),Mijlpalenbegroting!L$25+1),),0)</f>
        <v>0</v>
      </c>
      <c r="M15" s="14">
        <f>IF(M4,YEARFRAC(MAX(Mijlpalenbegroting!M$24,DATE($B15,1,1)),MIN(DATE($B15,12,31),Mijlpalenbegroting!M$25+1),),0)</f>
        <v>0</v>
      </c>
      <c r="N15" s="14">
        <f>IF(N4,YEARFRAC(MAX(Mijlpalenbegroting!N$24,DATE($B15,1,1)),MIN(DATE($B15,12,31),Mijlpalenbegroting!N$25+1),),0)</f>
        <v>0</v>
      </c>
      <c r="O15" s="14">
        <f>IF(O4,YEARFRAC(MAX(Mijlpalenbegroting!O$24,DATE($B15,1,1)),MIN(DATE($B15,12,31),Mijlpalenbegroting!O$25+1),),0)</f>
        <v>0</v>
      </c>
      <c r="P15" s="14">
        <f>IF(P4,YEARFRAC(MAX(Mijlpalenbegroting!P$24,DATE($B15,1,1)),MIN(DATE($B15,12,31),Mijlpalenbegroting!P$25+1),),0)</f>
        <v>0</v>
      </c>
      <c r="Q15" s="368">
        <f>IF(Q4,YEARFRAC(MAX(Mijlpalenbegroting!Q$24,DATE($B15,1,1)),MIN(DATE($B15,12,31),Mijlpalenbegroting!Q$25+1),),0)</f>
        <v>0</v>
      </c>
      <c r="R15" s="14"/>
    </row>
    <row r="16" spans="2:18" x14ac:dyDescent="0.25">
      <c r="B16" s="470">
        <f t="shared" si="1"/>
        <v>1902</v>
      </c>
      <c r="C16" s="367">
        <f>IF(C5,YEARFRAC(MAX(Mijlpalenbegroting!C$24,DATE($B16,1,1)),MIN(DATE($B16,12,31),Mijlpalenbegroting!C$25+1),),0)</f>
        <v>0</v>
      </c>
      <c r="D16" s="14">
        <f>IF(D5,YEARFRAC(MAX(Mijlpalenbegroting!D$24,DATE($B16,1,1)),MIN(DATE($B16,12,31),Mijlpalenbegroting!D$25+1),),0)</f>
        <v>0</v>
      </c>
      <c r="E16" s="14">
        <f>IF(E5,YEARFRAC(MAX(Mijlpalenbegroting!E$24,DATE($B16,1,1)),MIN(DATE($B16,12,31),Mijlpalenbegroting!E$25+1),),0)</f>
        <v>0</v>
      </c>
      <c r="F16" s="14">
        <f>IF(F5,YEARFRAC(MAX(Mijlpalenbegroting!F$24,DATE($B16,1,1)),MIN(DATE($B16,12,31),Mijlpalenbegroting!F$25+1),),0)</f>
        <v>0</v>
      </c>
      <c r="G16" s="14">
        <f>IF(G5,YEARFRAC(MAX(Mijlpalenbegroting!G$24,DATE($B16,1,1)),MIN(DATE($B16,12,31),Mijlpalenbegroting!G$25+1),),0)</f>
        <v>0</v>
      </c>
      <c r="H16" s="14">
        <f>IF(H5,YEARFRAC(MAX(Mijlpalenbegroting!H$24,DATE($B16,1,1)),MIN(DATE($B16,12,31),Mijlpalenbegroting!H$25+1),),0)</f>
        <v>0</v>
      </c>
      <c r="I16" s="14">
        <f>IF(I5,YEARFRAC(MAX(Mijlpalenbegroting!I$24,DATE($B16,1,1)),MIN(DATE($B16,12,31),Mijlpalenbegroting!I$25+1),),0)</f>
        <v>0</v>
      </c>
      <c r="J16" s="14">
        <f>IF(J5,YEARFRAC(MAX(Mijlpalenbegroting!J$24,DATE($B16,1,1)),MIN(DATE($B16,12,31),Mijlpalenbegroting!J$25+1),),0)</f>
        <v>0</v>
      </c>
      <c r="K16" s="14">
        <f>IF(K5,YEARFRAC(MAX(Mijlpalenbegroting!K$24,DATE($B16,1,1)),MIN(DATE($B16,12,31),Mijlpalenbegroting!K$25+1),),0)</f>
        <v>0</v>
      </c>
      <c r="L16" s="14">
        <f>IF(L5,YEARFRAC(MAX(Mijlpalenbegroting!L$24,DATE($B16,1,1)),MIN(DATE($B16,12,31),Mijlpalenbegroting!L$25+1),),0)</f>
        <v>0</v>
      </c>
      <c r="M16" s="14">
        <f>IF(M5,YEARFRAC(MAX(Mijlpalenbegroting!M$24,DATE($B16,1,1)),MIN(DATE($B16,12,31),Mijlpalenbegroting!M$25+1),),0)</f>
        <v>0</v>
      </c>
      <c r="N16" s="14">
        <f>IF(N5,YEARFRAC(MAX(Mijlpalenbegroting!N$24,DATE($B16,1,1)),MIN(DATE($B16,12,31),Mijlpalenbegroting!N$25+1),),0)</f>
        <v>0</v>
      </c>
      <c r="O16" s="14">
        <f>IF(O5,YEARFRAC(MAX(Mijlpalenbegroting!O$24,DATE($B16,1,1)),MIN(DATE($B16,12,31),Mijlpalenbegroting!O$25+1),),0)</f>
        <v>0</v>
      </c>
      <c r="P16" s="14">
        <f>IF(P5,YEARFRAC(MAX(Mijlpalenbegroting!P$24,DATE($B16,1,1)),MIN(DATE($B16,12,31),Mijlpalenbegroting!P$25+1),),0)</f>
        <v>0</v>
      </c>
      <c r="Q16" s="368">
        <f>IF(Q5,YEARFRAC(MAX(Mijlpalenbegroting!Q$24,DATE($B16,1,1)),MIN(DATE($B16,12,31),Mijlpalenbegroting!Q$25+1),),0)</f>
        <v>0</v>
      </c>
      <c r="R16" s="14"/>
    </row>
    <row r="17" spans="2:18" x14ac:dyDescent="0.25">
      <c r="B17" s="470">
        <f t="shared" si="1"/>
        <v>1903</v>
      </c>
      <c r="C17" s="367">
        <f>IF(C6,YEARFRAC(MAX(Mijlpalenbegroting!C$24,DATE($B17,1,1)),MIN(DATE($B17,12,31),Mijlpalenbegroting!C$25+1),),0)</f>
        <v>0</v>
      </c>
      <c r="D17" s="14">
        <f>IF(D6,YEARFRAC(MAX(Mijlpalenbegroting!D$24,DATE($B17,1,1)),MIN(DATE($B17,12,31),Mijlpalenbegroting!D$25+1),),0)</f>
        <v>0</v>
      </c>
      <c r="E17" s="14">
        <f>IF(E6,YEARFRAC(MAX(Mijlpalenbegroting!E$24,DATE($B17,1,1)),MIN(DATE($B17,12,31),Mijlpalenbegroting!E$25+1),),0)</f>
        <v>0</v>
      </c>
      <c r="F17" s="14">
        <f>IF(F6,YEARFRAC(MAX(Mijlpalenbegroting!F$24,DATE($B17,1,1)),MIN(DATE($B17,12,31),Mijlpalenbegroting!F$25+1),),0)</f>
        <v>0</v>
      </c>
      <c r="G17" s="14">
        <f>IF(G6,YEARFRAC(MAX(Mijlpalenbegroting!G$24,DATE($B17,1,1)),MIN(DATE($B17,12,31),Mijlpalenbegroting!G$25+1),),0)</f>
        <v>0</v>
      </c>
      <c r="H17" s="14">
        <f>IF(H6,YEARFRAC(MAX(Mijlpalenbegroting!H$24,DATE($B17,1,1)),MIN(DATE($B17,12,31),Mijlpalenbegroting!H$25+1),),0)</f>
        <v>0</v>
      </c>
      <c r="I17" s="14">
        <f>IF(I6,YEARFRAC(MAX(Mijlpalenbegroting!I$24,DATE($B17,1,1)),MIN(DATE($B17,12,31),Mijlpalenbegroting!I$25+1),),0)</f>
        <v>0</v>
      </c>
      <c r="J17" s="14">
        <f>IF(J6,YEARFRAC(MAX(Mijlpalenbegroting!J$24,DATE($B17,1,1)),MIN(DATE($B17,12,31),Mijlpalenbegroting!J$25+1),),0)</f>
        <v>0</v>
      </c>
      <c r="K17" s="14">
        <f>IF(K6,YEARFRAC(MAX(Mijlpalenbegroting!K$24,DATE($B17,1,1)),MIN(DATE($B17,12,31),Mijlpalenbegroting!K$25+1),),0)</f>
        <v>0</v>
      </c>
      <c r="L17" s="14">
        <f>IF(L6,YEARFRAC(MAX(Mijlpalenbegroting!L$24,DATE($B17,1,1)),MIN(DATE($B17,12,31),Mijlpalenbegroting!L$25+1),),0)</f>
        <v>0</v>
      </c>
      <c r="M17" s="14">
        <f>IF(M6,YEARFRAC(MAX(Mijlpalenbegroting!M$24,DATE($B17,1,1)),MIN(DATE($B17,12,31),Mijlpalenbegroting!M$25+1),),0)</f>
        <v>0</v>
      </c>
      <c r="N17" s="14">
        <f>IF(N6,YEARFRAC(MAX(Mijlpalenbegroting!N$24,DATE($B17,1,1)),MIN(DATE($B17,12,31),Mijlpalenbegroting!N$25+1),),0)</f>
        <v>0</v>
      </c>
      <c r="O17" s="14">
        <f>IF(O6,YEARFRAC(MAX(Mijlpalenbegroting!O$24,DATE($B17,1,1)),MIN(DATE($B17,12,31),Mijlpalenbegroting!O$25+1),),0)</f>
        <v>0</v>
      </c>
      <c r="P17" s="14">
        <f>IF(P6,YEARFRAC(MAX(Mijlpalenbegroting!P$24,DATE($B17,1,1)),MIN(DATE($B17,12,31),Mijlpalenbegroting!P$25+1),),0)</f>
        <v>0</v>
      </c>
      <c r="Q17" s="368">
        <f>IF(Q6,YEARFRAC(MAX(Mijlpalenbegroting!Q$24,DATE($B17,1,1)),MIN(DATE($B17,12,31),Mijlpalenbegroting!Q$25+1),),0)</f>
        <v>0</v>
      </c>
      <c r="R17" s="14"/>
    </row>
    <row r="18" spans="2:18" x14ac:dyDescent="0.25">
      <c r="B18" s="470">
        <f t="shared" si="1"/>
        <v>1904</v>
      </c>
      <c r="C18" s="367">
        <f>IF(C7,YEARFRAC(MAX(Mijlpalenbegroting!C$24,DATE($B18,1,1)),MIN(DATE($B18,12,31),Mijlpalenbegroting!C$25+1),),0)</f>
        <v>0</v>
      </c>
      <c r="D18" s="14">
        <f>IF(D7,YEARFRAC(MAX(Mijlpalenbegroting!D$24,DATE($B18,1,1)),MIN(DATE($B18,12,31),Mijlpalenbegroting!D$25+1),),0)</f>
        <v>0</v>
      </c>
      <c r="E18" s="14">
        <f>IF(E7,YEARFRAC(MAX(Mijlpalenbegroting!E$24,DATE($B18,1,1)),MIN(DATE($B18,12,31),Mijlpalenbegroting!E$25+1),),0)</f>
        <v>0</v>
      </c>
      <c r="F18" s="14">
        <f>IF(F7,YEARFRAC(MAX(Mijlpalenbegroting!F$24,DATE($B18,1,1)),MIN(DATE($B18,12,31),Mijlpalenbegroting!F$25+1),),0)</f>
        <v>0</v>
      </c>
      <c r="G18" s="14">
        <f>IF(G7,YEARFRAC(MAX(Mijlpalenbegroting!G$24,DATE($B18,1,1)),MIN(DATE($B18,12,31),Mijlpalenbegroting!G$25+1),),0)</f>
        <v>0</v>
      </c>
      <c r="H18" s="14">
        <f>IF(H7,YEARFRAC(MAX(Mijlpalenbegroting!H$24,DATE($B18,1,1)),MIN(DATE($B18,12,31),Mijlpalenbegroting!H$25+1),),0)</f>
        <v>0</v>
      </c>
      <c r="I18" s="14">
        <f>IF(I7,YEARFRAC(MAX(Mijlpalenbegroting!I$24,DATE($B18,1,1)),MIN(DATE($B18,12,31),Mijlpalenbegroting!I$25+1),),0)</f>
        <v>0</v>
      </c>
      <c r="J18" s="14">
        <f>IF(J7,YEARFRAC(MAX(Mijlpalenbegroting!J$24,DATE($B18,1,1)),MIN(DATE($B18,12,31),Mijlpalenbegroting!J$25+1),),0)</f>
        <v>0</v>
      </c>
      <c r="K18" s="14">
        <f>IF(K7,YEARFRAC(MAX(Mijlpalenbegroting!K$24,DATE($B18,1,1)),MIN(DATE($B18,12,31),Mijlpalenbegroting!K$25+1),),0)</f>
        <v>0</v>
      </c>
      <c r="L18" s="14">
        <f>IF(L7,YEARFRAC(MAX(Mijlpalenbegroting!L$24,DATE($B18,1,1)),MIN(DATE($B18,12,31),Mijlpalenbegroting!L$25+1),),0)</f>
        <v>0</v>
      </c>
      <c r="M18" s="14">
        <f>IF(M7,YEARFRAC(MAX(Mijlpalenbegroting!M$24,DATE($B18,1,1)),MIN(DATE($B18,12,31),Mijlpalenbegroting!M$25+1),),0)</f>
        <v>0</v>
      </c>
      <c r="N18" s="14">
        <f>IF(N7,YEARFRAC(MAX(Mijlpalenbegroting!N$24,DATE($B18,1,1)),MIN(DATE($B18,12,31),Mijlpalenbegroting!N$25+1),),0)</f>
        <v>0</v>
      </c>
      <c r="O18" s="14">
        <f>IF(O7,YEARFRAC(MAX(Mijlpalenbegroting!O$24,DATE($B18,1,1)),MIN(DATE($B18,12,31),Mijlpalenbegroting!O$25+1),),0)</f>
        <v>0</v>
      </c>
      <c r="P18" s="14">
        <f>IF(P7,YEARFRAC(MAX(Mijlpalenbegroting!P$24,DATE($B18,1,1)),MIN(DATE($B18,12,31),Mijlpalenbegroting!P$25+1),),0)</f>
        <v>0</v>
      </c>
      <c r="Q18" s="368">
        <f>IF(Q7,YEARFRAC(MAX(Mijlpalenbegroting!Q$24,DATE($B18,1,1)),MIN(DATE($B18,12,31),Mijlpalenbegroting!Q$25+1),),0)</f>
        <v>0</v>
      </c>
      <c r="R18" s="14"/>
    </row>
    <row r="19" spans="2:18" x14ac:dyDescent="0.25">
      <c r="B19" s="470">
        <f t="shared" si="1"/>
        <v>1905</v>
      </c>
      <c r="C19" s="367">
        <f>IF(C8,YEARFRAC(MAX(Mijlpalenbegroting!C$24,DATE($B19,1,1)),MIN(DATE($B19,12,31),Mijlpalenbegroting!C$25+1),),0)</f>
        <v>0</v>
      </c>
      <c r="D19" s="14">
        <f>IF(D8,YEARFRAC(MAX(Mijlpalenbegroting!D$24,DATE($B19,1,1)),MIN(DATE($B19,12,31),Mijlpalenbegroting!D$25+1),),0)</f>
        <v>0</v>
      </c>
      <c r="E19" s="14">
        <f>IF(E8,YEARFRAC(MAX(Mijlpalenbegroting!E$24,DATE($B19,1,1)),MIN(DATE($B19,12,31),Mijlpalenbegroting!E$25+1),),0)</f>
        <v>0</v>
      </c>
      <c r="F19" s="14">
        <f>IF(F8,YEARFRAC(MAX(Mijlpalenbegroting!F$24,DATE($B19,1,1)),MIN(DATE($B19,12,31),Mijlpalenbegroting!F$25+1),),0)</f>
        <v>0</v>
      </c>
      <c r="G19" s="14">
        <f>IF(G8,YEARFRAC(MAX(Mijlpalenbegroting!G$24,DATE($B19,1,1)),MIN(DATE($B19,12,31),Mijlpalenbegroting!G$25+1),),0)</f>
        <v>0</v>
      </c>
      <c r="H19" s="14">
        <f>IF(H8,YEARFRAC(MAX(Mijlpalenbegroting!H$24,DATE($B19,1,1)),MIN(DATE($B19,12,31),Mijlpalenbegroting!H$25+1),),0)</f>
        <v>0</v>
      </c>
      <c r="I19" s="14">
        <f>IF(I8,YEARFRAC(MAX(Mijlpalenbegroting!I$24,DATE($B19,1,1)),MIN(DATE($B19,12,31),Mijlpalenbegroting!I$25+1),),0)</f>
        <v>0</v>
      </c>
      <c r="J19" s="14">
        <f>IF(J8,YEARFRAC(MAX(Mijlpalenbegroting!J$24,DATE($B19,1,1)),MIN(DATE($B19,12,31),Mijlpalenbegroting!J$25+1),),0)</f>
        <v>0</v>
      </c>
      <c r="K19" s="14">
        <f>IF(K8,YEARFRAC(MAX(Mijlpalenbegroting!K$24,DATE($B19,1,1)),MIN(DATE($B19,12,31),Mijlpalenbegroting!K$25+1),),0)</f>
        <v>0</v>
      </c>
      <c r="L19" s="14">
        <f>IF(L8,YEARFRAC(MAX(Mijlpalenbegroting!L$24,DATE($B19,1,1)),MIN(DATE($B19,12,31),Mijlpalenbegroting!L$25+1),),0)</f>
        <v>0</v>
      </c>
      <c r="M19" s="14">
        <f>IF(M8,YEARFRAC(MAX(Mijlpalenbegroting!M$24,DATE($B19,1,1)),MIN(DATE($B19,12,31),Mijlpalenbegroting!M$25+1),),0)</f>
        <v>0</v>
      </c>
      <c r="N19" s="14">
        <f>IF(N8,YEARFRAC(MAX(Mijlpalenbegroting!N$24,DATE($B19,1,1)),MIN(DATE($B19,12,31),Mijlpalenbegroting!N$25+1),),0)</f>
        <v>0</v>
      </c>
      <c r="O19" s="14">
        <f>IF(O8,YEARFRAC(MAX(Mijlpalenbegroting!O$24,DATE($B19,1,1)),MIN(DATE($B19,12,31),Mijlpalenbegroting!O$25+1),),0)</f>
        <v>0</v>
      </c>
      <c r="P19" s="14">
        <f>IF(P8,YEARFRAC(MAX(Mijlpalenbegroting!P$24,DATE($B19,1,1)),MIN(DATE($B19,12,31),Mijlpalenbegroting!P$25+1),),0)</f>
        <v>0</v>
      </c>
      <c r="Q19" s="368">
        <f>IF(Q8,YEARFRAC(MAX(Mijlpalenbegroting!Q$24,DATE($B19,1,1)),MIN(DATE($B19,12,31),Mijlpalenbegroting!Q$25+1),),0)</f>
        <v>0</v>
      </c>
      <c r="R19" s="14"/>
    </row>
    <row r="20" spans="2:18" x14ac:dyDescent="0.25">
      <c r="B20" s="470">
        <f t="shared" si="1"/>
        <v>1906</v>
      </c>
      <c r="C20" s="367">
        <f>IF(C9,YEARFRAC(MAX(Mijlpalenbegroting!C$24,DATE($B20,1,1)),MIN(DATE($B20,12,31),Mijlpalenbegroting!C$25+1),),0)</f>
        <v>0</v>
      </c>
      <c r="D20" s="14">
        <f>IF(D9,YEARFRAC(MAX(Mijlpalenbegroting!D$24,DATE($B20,1,1)),MIN(DATE($B20,12,31),Mijlpalenbegroting!D$25+1),),0)</f>
        <v>0</v>
      </c>
      <c r="E20" s="14">
        <f>IF(E9,YEARFRAC(MAX(Mijlpalenbegroting!E$24,DATE($B20,1,1)),MIN(DATE($B20,12,31),Mijlpalenbegroting!E$25+1),),0)</f>
        <v>0</v>
      </c>
      <c r="F20" s="14">
        <f>IF(F9,YEARFRAC(MAX(Mijlpalenbegroting!F$24,DATE($B20,1,1)),MIN(DATE($B20,12,31),Mijlpalenbegroting!F$25+1),),0)</f>
        <v>0</v>
      </c>
      <c r="G20" s="14">
        <f>IF(G9,YEARFRAC(MAX(Mijlpalenbegroting!G$24,DATE($B20,1,1)),MIN(DATE($B20,12,31),Mijlpalenbegroting!G$25+1),),0)</f>
        <v>0</v>
      </c>
      <c r="H20" s="14">
        <f>IF(H9,YEARFRAC(MAX(Mijlpalenbegroting!H$24,DATE($B20,1,1)),MIN(DATE($B20,12,31),Mijlpalenbegroting!H$25+1),),0)</f>
        <v>0</v>
      </c>
      <c r="I20" s="14">
        <f>IF(I9,YEARFRAC(MAX(Mijlpalenbegroting!I$24,DATE($B20,1,1)),MIN(DATE($B20,12,31),Mijlpalenbegroting!I$25+1),),0)</f>
        <v>0</v>
      </c>
      <c r="J20" s="14">
        <f>IF(J9,YEARFRAC(MAX(Mijlpalenbegroting!J$24,DATE($B20,1,1)),MIN(DATE($B20,12,31),Mijlpalenbegroting!J$25+1),),0)</f>
        <v>0</v>
      </c>
      <c r="K20" s="14">
        <f>IF(K9,YEARFRAC(MAX(Mijlpalenbegroting!K$24,DATE($B20,1,1)),MIN(DATE($B20,12,31),Mijlpalenbegroting!K$25+1),),0)</f>
        <v>0</v>
      </c>
      <c r="L20" s="14">
        <f>IF(L9,YEARFRAC(MAX(Mijlpalenbegroting!L$24,DATE($B20,1,1)),MIN(DATE($B20,12,31),Mijlpalenbegroting!L$25+1),),0)</f>
        <v>0</v>
      </c>
      <c r="M20" s="14">
        <f>IF(M9,YEARFRAC(MAX(Mijlpalenbegroting!M$24,DATE($B20,1,1)),MIN(DATE($B20,12,31),Mijlpalenbegroting!M$25+1),),0)</f>
        <v>0</v>
      </c>
      <c r="N20" s="14">
        <f>IF(N9,YEARFRAC(MAX(Mijlpalenbegroting!N$24,DATE($B20,1,1)),MIN(DATE($B20,12,31),Mijlpalenbegroting!N$25+1),),0)</f>
        <v>0</v>
      </c>
      <c r="O20" s="14">
        <f>IF(O9,YEARFRAC(MAX(Mijlpalenbegroting!O$24,DATE($B20,1,1)),MIN(DATE($B20,12,31),Mijlpalenbegroting!O$25+1),),0)</f>
        <v>0</v>
      </c>
      <c r="P20" s="14">
        <f>IF(P9,YEARFRAC(MAX(Mijlpalenbegroting!P$24,DATE($B20,1,1)),MIN(DATE($B20,12,31),Mijlpalenbegroting!P$25+1),),0)</f>
        <v>0</v>
      </c>
      <c r="Q20" s="368">
        <f>IF(Q9,YEARFRAC(MAX(Mijlpalenbegroting!Q$24,DATE($B20,1,1)),MIN(DATE($B20,12,31),Mijlpalenbegroting!Q$25+1),),0)</f>
        <v>0</v>
      </c>
      <c r="R20" s="14"/>
    </row>
    <row r="21" spans="2:18" x14ac:dyDescent="0.25">
      <c r="B21" s="470">
        <f t="shared" si="1"/>
        <v>1907</v>
      </c>
      <c r="C21" s="367">
        <f>IF(C10,YEARFRAC(MAX(Mijlpalenbegroting!C$24,DATE($B21,1,1)),MIN(DATE($B21,12,31),Mijlpalenbegroting!C$25+1),),0)</f>
        <v>0</v>
      </c>
      <c r="D21" s="14">
        <f>IF(D10,YEARFRAC(MAX(Mijlpalenbegroting!D$24,DATE($B21,1,1)),MIN(DATE($B21,12,31),Mijlpalenbegroting!D$25+1),),0)</f>
        <v>0</v>
      </c>
      <c r="E21" s="14">
        <f>IF(E10,YEARFRAC(MAX(Mijlpalenbegroting!E$24,DATE($B21,1,1)),MIN(DATE($B21,12,31),Mijlpalenbegroting!E$25+1),),0)</f>
        <v>0</v>
      </c>
      <c r="F21" s="14">
        <f>IF(F10,YEARFRAC(MAX(Mijlpalenbegroting!F$24,DATE($B21,1,1)),MIN(DATE($B21,12,31),Mijlpalenbegroting!F$25+1),),0)</f>
        <v>0</v>
      </c>
      <c r="G21" s="14">
        <f>IF(G10,YEARFRAC(MAX(Mijlpalenbegroting!G$24,DATE($B21,1,1)),MIN(DATE($B21,12,31),Mijlpalenbegroting!G$25+1),),0)</f>
        <v>0</v>
      </c>
      <c r="H21" s="14">
        <f>IF(H10,YEARFRAC(MAX(Mijlpalenbegroting!H$24,DATE($B21,1,1)),MIN(DATE($B21,12,31),Mijlpalenbegroting!H$25+1),),0)</f>
        <v>0</v>
      </c>
      <c r="I21" s="14">
        <f>IF(I10,YEARFRAC(MAX(Mijlpalenbegroting!I$24,DATE($B21,1,1)),MIN(DATE($B21,12,31),Mijlpalenbegroting!I$25+1),),0)</f>
        <v>0</v>
      </c>
      <c r="J21" s="14">
        <f>IF(J10,YEARFRAC(MAX(Mijlpalenbegroting!J$24,DATE($B21,1,1)),MIN(DATE($B21,12,31),Mijlpalenbegroting!J$25+1),),0)</f>
        <v>0</v>
      </c>
      <c r="K21" s="14">
        <f>IF(K10,YEARFRAC(MAX(Mijlpalenbegroting!K$24,DATE($B21,1,1)),MIN(DATE($B21,12,31),Mijlpalenbegroting!K$25+1),),0)</f>
        <v>0</v>
      </c>
      <c r="L21" s="14">
        <f>IF(L10,YEARFRAC(MAX(Mijlpalenbegroting!L$24,DATE($B21,1,1)),MIN(DATE($B21,12,31),Mijlpalenbegroting!L$25+1),),0)</f>
        <v>0</v>
      </c>
      <c r="M21" s="14">
        <f>IF(M10,YEARFRAC(MAX(Mijlpalenbegroting!M$24,DATE($B21,1,1)),MIN(DATE($B21,12,31),Mijlpalenbegroting!M$25+1),),0)</f>
        <v>0</v>
      </c>
      <c r="N21" s="14">
        <f>IF(N10,YEARFRAC(MAX(Mijlpalenbegroting!N$24,DATE($B21,1,1)),MIN(DATE($B21,12,31),Mijlpalenbegroting!N$25+1),),0)</f>
        <v>0</v>
      </c>
      <c r="O21" s="14">
        <f>IF(O10,YEARFRAC(MAX(Mijlpalenbegroting!O$24,DATE($B21,1,1)),MIN(DATE($B21,12,31),Mijlpalenbegroting!O$25+1),),0)</f>
        <v>0</v>
      </c>
      <c r="P21" s="14">
        <f>IF(P10,YEARFRAC(MAX(Mijlpalenbegroting!P$24,DATE($B21,1,1)),MIN(DATE($B21,12,31),Mijlpalenbegroting!P$25+1),),0)</f>
        <v>0</v>
      </c>
      <c r="Q21" s="368">
        <f>IF(Q10,YEARFRAC(MAX(Mijlpalenbegroting!Q$24,DATE($B21,1,1)),MIN(DATE($B21,12,31),Mijlpalenbegroting!Q$25+1),),0)</f>
        <v>0</v>
      </c>
      <c r="R21" s="14"/>
    </row>
    <row r="22" spans="2:18" x14ac:dyDescent="0.25">
      <c r="B22" s="470">
        <f t="shared" si="1"/>
        <v>1908</v>
      </c>
      <c r="C22" s="367">
        <f>IF(C11,YEARFRAC(MAX(Mijlpalenbegroting!C$24,DATE($B22,1,1)),MIN(DATE($B22,12,31),Mijlpalenbegroting!C$25+1),),0)</f>
        <v>0</v>
      </c>
      <c r="D22" s="14">
        <f>IF(D11,YEARFRAC(MAX(Mijlpalenbegroting!D$24,DATE($B22,1,1)),MIN(DATE($B22,12,31),Mijlpalenbegroting!D$25+1),),0)</f>
        <v>0</v>
      </c>
      <c r="E22" s="14">
        <f>IF(E11,YEARFRAC(MAX(Mijlpalenbegroting!E$24,DATE($B22,1,1)),MIN(DATE($B22,12,31),Mijlpalenbegroting!E$25+1),),0)</f>
        <v>0</v>
      </c>
      <c r="F22" s="14">
        <f>IF(F11,YEARFRAC(MAX(Mijlpalenbegroting!F$24,DATE($B22,1,1)),MIN(DATE($B22,12,31),Mijlpalenbegroting!F$25+1),),0)</f>
        <v>0</v>
      </c>
      <c r="G22" s="14">
        <f>IF(G11,YEARFRAC(MAX(Mijlpalenbegroting!G$24,DATE($B22,1,1)),MIN(DATE($B22,12,31),Mijlpalenbegroting!G$25+1),),0)</f>
        <v>0</v>
      </c>
      <c r="H22" s="14">
        <f>IF(H11,YEARFRAC(MAX(Mijlpalenbegroting!H$24,DATE($B22,1,1)),MIN(DATE($B22,12,31),Mijlpalenbegroting!H$25+1),),0)</f>
        <v>0</v>
      </c>
      <c r="I22" s="14">
        <f>IF(I11,YEARFRAC(MAX(Mijlpalenbegroting!I$24,DATE($B22,1,1)),MIN(DATE($B22,12,31),Mijlpalenbegroting!I$25+1),),0)</f>
        <v>0</v>
      </c>
      <c r="J22" s="14">
        <f>IF(J11,YEARFRAC(MAX(Mijlpalenbegroting!J$24,DATE($B22,1,1)),MIN(DATE($B22,12,31),Mijlpalenbegroting!J$25+1),),0)</f>
        <v>0</v>
      </c>
      <c r="K22" s="14">
        <f>IF(K11,YEARFRAC(MAX(Mijlpalenbegroting!K$24,DATE($B22,1,1)),MIN(DATE($B22,12,31),Mijlpalenbegroting!K$25+1),),0)</f>
        <v>0</v>
      </c>
      <c r="L22" s="14">
        <f>IF(L11,YEARFRAC(MAX(Mijlpalenbegroting!L$24,DATE($B22,1,1)),MIN(DATE($B22,12,31),Mijlpalenbegroting!L$25+1),),0)</f>
        <v>0</v>
      </c>
      <c r="M22" s="14">
        <f>IF(M11,YEARFRAC(MAX(Mijlpalenbegroting!M$24,DATE($B22,1,1)),MIN(DATE($B22,12,31),Mijlpalenbegroting!M$25+1),),0)</f>
        <v>0</v>
      </c>
      <c r="N22" s="14">
        <f>IF(N11,YEARFRAC(MAX(Mijlpalenbegroting!N$24,DATE($B22,1,1)),MIN(DATE($B22,12,31),Mijlpalenbegroting!N$25+1),),0)</f>
        <v>0</v>
      </c>
      <c r="O22" s="14">
        <f>IF(O11,YEARFRAC(MAX(Mijlpalenbegroting!O$24,DATE($B22,1,1)),MIN(DATE($B22,12,31),Mijlpalenbegroting!O$25+1),),0)</f>
        <v>0</v>
      </c>
      <c r="P22" s="14">
        <f>IF(P11,YEARFRAC(MAX(Mijlpalenbegroting!P$24,DATE($B22,1,1)),MIN(DATE($B22,12,31),Mijlpalenbegroting!P$25+1),),0)</f>
        <v>0</v>
      </c>
      <c r="Q22" s="368">
        <f>IF(Q11,YEARFRAC(MAX(Mijlpalenbegroting!Q$24,DATE($B22,1,1)),MIN(DATE($B22,12,31),Mijlpalenbegroting!Q$25+1),),0)</f>
        <v>0</v>
      </c>
      <c r="R22" s="14"/>
    </row>
    <row r="23" spans="2:18" x14ac:dyDescent="0.25">
      <c r="B23" s="470">
        <f t="shared" si="1"/>
        <v>1909</v>
      </c>
      <c r="C23" s="369">
        <f>IF(C12,YEARFRAC(MAX(Mijlpalenbegroting!C$24,DATE($B23,1,1)),MIN(DATE($B23,12,31),Mijlpalenbegroting!C$25+1),),0)</f>
        <v>0</v>
      </c>
      <c r="D23" s="51">
        <f>IF(D12,YEARFRAC(MAX(Mijlpalenbegroting!D$24,DATE($B23,1,1)),MIN(DATE($B23,12,31),Mijlpalenbegroting!D$25+1),),0)</f>
        <v>0</v>
      </c>
      <c r="E23" s="51">
        <f>IF(E12,YEARFRAC(MAX(Mijlpalenbegroting!E$24,DATE($B23,1,1)),MIN(DATE($B23,12,31),Mijlpalenbegroting!E$25+1),),0)</f>
        <v>0</v>
      </c>
      <c r="F23" s="51">
        <f>IF(F12,YEARFRAC(MAX(Mijlpalenbegroting!F$24,DATE($B23,1,1)),MIN(DATE($B23,12,31),Mijlpalenbegroting!F$25+1),),0)</f>
        <v>0</v>
      </c>
      <c r="G23" s="51">
        <f>IF(G12,YEARFRAC(MAX(Mijlpalenbegroting!G$24,DATE($B23,1,1)),MIN(DATE($B23,12,31),Mijlpalenbegroting!G$25+1),),0)</f>
        <v>0</v>
      </c>
      <c r="H23" s="51">
        <f>IF(H12,YEARFRAC(MAX(Mijlpalenbegroting!H$24,DATE($B23,1,1)),MIN(DATE($B23,12,31),Mijlpalenbegroting!H$25+1),),0)</f>
        <v>0</v>
      </c>
      <c r="I23" s="51">
        <f>IF(I12,YEARFRAC(MAX(Mijlpalenbegroting!I$24,DATE($B23,1,1)),MIN(DATE($B23,12,31),Mijlpalenbegroting!I$25+1),),0)</f>
        <v>0</v>
      </c>
      <c r="J23" s="51">
        <f>IF(J12,YEARFRAC(MAX(Mijlpalenbegroting!J$24,DATE($B23,1,1)),MIN(DATE($B23,12,31),Mijlpalenbegroting!J$25+1),),0)</f>
        <v>0</v>
      </c>
      <c r="K23" s="51">
        <f>IF(K12,YEARFRAC(MAX(Mijlpalenbegroting!K$24,DATE($B23,1,1)),MIN(DATE($B23,12,31),Mijlpalenbegroting!K$25+1),),0)</f>
        <v>0</v>
      </c>
      <c r="L23" s="51">
        <f>IF(L12,YEARFRAC(MAX(Mijlpalenbegroting!L$24,DATE($B23,1,1)),MIN(DATE($B23,12,31),Mijlpalenbegroting!L$25+1),),0)</f>
        <v>0</v>
      </c>
      <c r="M23" s="51">
        <f>IF(M12,YEARFRAC(MAX(Mijlpalenbegroting!M$24,DATE($B23,1,1)),MIN(DATE($B23,12,31),Mijlpalenbegroting!M$25+1),),0)</f>
        <v>0</v>
      </c>
      <c r="N23" s="51">
        <f>IF(N12,YEARFRAC(MAX(Mijlpalenbegroting!N$24,DATE($B23,1,1)),MIN(DATE($B23,12,31),Mijlpalenbegroting!N$25+1),),0)</f>
        <v>0</v>
      </c>
      <c r="O23" s="51">
        <f>IF(O12,YEARFRAC(MAX(Mijlpalenbegroting!O$24,DATE($B23,1,1)),MIN(DATE($B23,12,31),Mijlpalenbegroting!O$25+1),),0)</f>
        <v>0</v>
      </c>
      <c r="P23" s="51">
        <f>IF(P12,YEARFRAC(MAX(Mijlpalenbegroting!P$24,DATE($B23,1,1)),MIN(DATE($B23,12,31),Mijlpalenbegroting!P$25+1),),0)</f>
        <v>0</v>
      </c>
      <c r="Q23" s="370">
        <f>IF(Q12,YEARFRAC(MAX(Mijlpalenbegroting!Q$24,DATE($B23,1,1)),MIN(DATE($B23,12,31),Mijlpalenbegroting!Q$25+1),),0)</f>
        <v>0</v>
      </c>
      <c r="R23" s="14"/>
    </row>
    <row r="24" spans="2:18" x14ac:dyDescent="0.25">
      <c r="B24" s="14"/>
      <c r="C24" s="471">
        <f t="shared" ref="C24:Q24" si="2">SUM(C14:C23)</f>
        <v>0</v>
      </c>
      <c r="D24" s="471">
        <f t="shared" si="2"/>
        <v>0</v>
      </c>
      <c r="E24" s="471">
        <f t="shared" si="2"/>
        <v>0</v>
      </c>
      <c r="F24" s="471">
        <f t="shared" si="2"/>
        <v>0</v>
      </c>
      <c r="G24" s="471">
        <f t="shared" si="2"/>
        <v>0</v>
      </c>
      <c r="H24" s="471">
        <f t="shared" si="2"/>
        <v>0</v>
      </c>
      <c r="I24" s="471">
        <f t="shared" si="2"/>
        <v>0</v>
      </c>
      <c r="J24" s="471">
        <f t="shared" si="2"/>
        <v>0</v>
      </c>
      <c r="K24" s="471">
        <f t="shared" si="2"/>
        <v>0</v>
      </c>
      <c r="L24" s="471">
        <f t="shared" si="2"/>
        <v>0</v>
      </c>
      <c r="M24" s="471">
        <f t="shared" si="2"/>
        <v>0</v>
      </c>
      <c r="N24" s="471">
        <f t="shared" si="2"/>
        <v>0</v>
      </c>
      <c r="O24" s="471">
        <f t="shared" si="2"/>
        <v>0</v>
      </c>
      <c r="P24" s="471">
        <f t="shared" si="2"/>
        <v>0</v>
      </c>
      <c r="Q24" s="471">
        <f t="shared" si="2"/>
        <v>0</v>
      </c>
      <c r="R24" s="14"/>
    </row>
    <row r="25" spans="2:18" x14ac:dyDescent="0.25">
      <c r="B25" s="14"/>
      <c r="C25" s="472"/>
      <c r="D25" s="472"/>
      <c r="E25" s="472"/>
      <c r="F25" s="472"/>
      <c r="G25" s="472"/>
      <c r="H25" s="472"/>
      <c r="I25" s="472"/>
      <c r="J25" s="472"/>
      <c r="K25" s="472"/>
      <c r="L25" s="472"/>
      <c r="M25" s="472"/>
      <c r="N25" s="472"/>
      <c r="O25" s="472"/>
      <c r="P25" s="472"/>
      <c r="Q25" s="472"/>
      <c r="R25" s="14"/>
    </row>
    <row r="26" spans="2:18" x14ac:dyDescent="0.25">
      <c r="B26" s="470">
        <f t="shared" ref="B26:B35" si="3">B3</f>
        <v>1900</v>
      </c>
      <c r="C26" s="365">
        <f>IFERROR(C14/C$24,0)</f>
        <v>0</v>
      </c>
      <c r="D26" s="366">
        <f t="shared" ref="D26:Q26" si="4">IFERROR(D14/D$24,0)</f>
        <v>0</v>
      </c>
      <c r="E26" s="366">
        <f t="shared" si="4"/>
        <v>0</v>
      </c>
      <c r="F26" s="366">
        <f t="shared" si="4"/>
        <v>0</v>
      </c>
      <c r="G26" s="366">
        <f t="shared" si="4"/>
        <v>0</v>
      </c>
      <c r="H26" s="366">
        <f t="shared" si="4"/>
        <v>0</v>
      </c>
      <c r="I26" s="366">
        <f t="shared" si="4"/>
        <v>0</v>
      </c>
      <c r="J26" s="366">
        <f t="shared" si="4"/>
        <v>0</v>
      </c>
      <c r="K26" s="366">
        <f t="shared" si="4"/>
        <v>0</v>
      </c>
      <c r="L26" s="366">
        <f t="shared" si="4"/>
        <v>0</v>
      </c>
      <c r="M26" s="366">
        <f t="shared" si="4"/>
        <v>0</v>
      </c>
      <c r="N26" s="366">
        <f t="shared" si="4"/>
        <v>0</v>
      </c>
      <c r="O26" s="366">
        <f t="shared" si="4"/>
        <v>0</v>
      </c>
      <c r="P26" s="366">
        <f t="shared" si="4"/>
        <v>0</v>
      </c>
      <c r="Q26" s="467">
        <f t="shared" si="4"/>
        <v>0</v>
      </c>
      <c r="R26" s="14"/>
    </row>
    <row r="27" spans="2:18" x14ac:dyDescent="0.25">
      <c r="B27" s="470">
        <f t="shared" si="3"/>
        <v>1901</v>
      </c>
      <c r="C27" s="367">
        <f t="shared" ref="C27:Q27" si="5">IFERROR(C15/C$24,0)</f>
        <v>0</v>
      </c>
      <c r="D27" s="14">
        <f t="shared" si="5"/>
        <v>0</v>
      </c>
      <c r="E27" s="14">
        <f t="shared" si="5"/>
        <v>0</v>
      </c>
      <c r="F27" s="14">
        <f t="shared" si="5"/>
        <v>0</v>
      </c>
      <c r="G27" s="14">
        <f t="shared" si="5"/>
        <v>0</v>
      </c>
      <c r="H27" s="14">
        <f t="shared" si="5"/>
        <v>0</v>
      </c>
      <c r="I27" s="14">
        <f t="shared" si="5"/>
        <v>0</v>
      </c>
      <c r="J27" s="14">
        <f t="shared" si="5"/>
        <v>0</v>
      </c>
      <c r="K27" s="14">
        <f t="shared" si="5"/>
        <v>0</v>
      </c>
      <c r="L27" s="14">
        <f t="shared" si="5"/>
        <v>0</v>
      </c>
      <c r="M27" s="14">
        <f t="shared" si="5"/>
        <v>0</v>
      </c>
      <c r="N27" s="14">
        <f t="shared" si="5"/>
        <v>0</v>
      </c>
      <c r="O27" s="14">
        <f t="shared" si="5"/>
        <v>0</v>
      </c>
      <c r="P27" s="14">
        <f t="shared" si="5"/>
        <v>0</v>
      </c>
      <c r="Q27" s="368">
        <f t="shared" si="5"/>
        <v>0</v>
      </c>
      <c r="R27" s="14"/>
    </row>
    <row r="28" spans="2:18" x14ac:dyDescent="0.25">
      <c r="B28" s="470">
        <f t="shared" si="3"/>
        <v>1902</v>
      </c>
      <c r="C28" s="367">
        <f t="shared" ref="C28:Q28" si="6">IFERROR(C16/C$24,0)</f>
        <v>0</v>
      </c>
      <c r="D28" s="14">
        <f t="shared" si="6"/>
        <v>0</v>
      </c>
      <c r="E28" s="14">
        <f t="shared" si="6"/>
        <v>0</v>
      </c>
      <c r="F28" s="14">
        <f t="shared" si="6"/>
        <v>0</v>
      </c>
      <c r="G28" s="14">
        <f t="shared" si="6"/>
        <v>0</v>
      </c>
      <c r="H28" s="14">
        <f t="shared" si="6"/>
        <v>0</v>
      </c>
      <c r="I28" s="14">
        <f t="shared" si="6"/>
        <v>0</v>
      </c>
      <c r="J28" s="14">
        <f t="shared" si="6"/>
        <v>0</v>
      </c>
      <c r="K28" s="14">
        <f t="shared" si="6"/>
        <v>0</v>
      </c>
      <c r="L28" s="14">
        <f t="shared" si="6"/>
        <v>0</v>
      </c>
      <c r="M28" s="14">
        <f t="shared" si="6"/>
        <v>0</v>
      </c>
      <c r="N28" s="14">
        <f t="shared" si="6"/>
        <v>0</v>
      </c>
      <c r="O28" s="14">
        <f t="shared" si="6"/>
        <v>0</v>
      </c>
      <c r="P28" s="14">
        <f t="shared" si="6"/>
        <v>0</v>
      </c>
      <c r="Q28" s="368">
        <f t="shared" si="6"/>
        <v>0</v>
      </c>
      <c r="R28" s="14"/>
    </row>
    <row r="29" spans="2:18" x14ac:dyDescent="0.25">
      <c r="B29" s="470">
        <f t="shared" si="3"/>
        <v>1903</v>
      </c>
      <c r="C29" s="367">
        <f t="shared" ref="C29:Q29" si="7">IFERROR(C17/C$24,0)</f>
        <v>0</v>
      </c>
      <c r="D29" s="14">
        <f t="shared" si="7"/>
        <v>0</v>
      </c>
      <c r="E29" s="14">
        <f t="shared" si="7"/>
        <v>0</v>
      </c>
      <c r="F29" s="14">
        <f t="shared" si="7"/>
        <v>0</v>
      </c>
      <c r="G29" s="14">
        <f t="shared" si="7"/>
        <v>0</v>
      </c>
      <c r="H29" s="14">
        <f t="shared" si="7"/>
        <v>0</v>
      </c>
      <c r="I29" s="14">
        <f t="shared" si="7"/>
        <v>0</v>
      </c>
      <c r="J29" s="14">
        <f t="shared" si="7"/>
        <v>0</v>
      </c>
      <c r="K29" s="14">
        <f t="shared" si="7"/>
        <v>0</v>
      </c>
      <c r="L29" s="14">
        <f t="shared" si="7"/>
        <v>0</v>
      </c>
      <c r="M29" s="14">
        <f t="shared" si="7"/>
        <v>0</v>
      </c>
      <c r="N29" s="14">
        <f t="shared" si="7"/>
        <v>0</v>
      </c>
      <c r="O29" s="14">
        <f t="shared" si="7"/>
        <v>0</v>
      </c>
      <c r="P29" s="14">
        <f t="shared" si="7"/>
        <v>0</v>
      </c>
      <c r="Q29" s="368">
        <f t="shared" si="7"/>
        <v>0</v>
      </c>
      <c r="R29" s="14"/>
    </row>
    <row r="30" spans="2:18" x14ac:dyDescent="0.25">
      <c r="B30" s="470">
        <f t="shared" si="3"/>
        <v>1904</v>
      </c>
      <c r="C30" s="367">
        <f t="shared" ref="C30:Q30" si="8">IFERROR(C18/C$24,0)</f>
        <v>0</v>
      </c>
      <c r="D30" s="14">
        <f t="shared" si="8"/>
        <v>0</v>
      </c>
      <c r="E30" s="14">
        <f t="shared" si="8"/>
        <v>0</v>
      </c>
      <c r="F30" s="14">
        <f t="shared" si="8"/>
        <v>0</v>
      </c>
      <c r="G30" s="14">
        <f t="shared" si="8"/>
        <v>0</v>
      </c>
      <c r="H30" s="14">
        <f t="shared" si="8"/>
        <v>0</v>
      </c>
      <c r="I30" s="14">
        <f t="shared" si="8"/>
        <v>0</v>
      </c>
      <c r="J30" s="14">
        <f t="shared" si="8"/>
        <v>0</v>
      </c>
      <c r="K30" s="14">
        <f t="shared" si="8"/>
        <v>0</v>
      </c>
      <c r="L30" s="14">
        <f t="shared" si="8"/>
        <v>0</v>
      </c>
      <c r="M30" s="14">
        <f t="shared" si="8"/>
        <v>0</v>
      </c>
      <c r="N30" s="14">
        <f t="shared" si="8"/>
        <v>0</v>
      </c>
      <c r="O30" s="14">
        <f t="shared" si="8"/>
        <v>0</v>
      </c>
      <c r="P30" s="14">
        <f t="shared" si="8"/>
        <v>0</v>
      </c>
      <c r="Q30" s="368">
        <f t="shared" si="8"/>
        <v>0</v>
      </c>
      <c r="R30" s="14"/>
    </row>
    <row r="31" spans="2:18" x14ac:dyDescent="0.25">
      <c r="B31" s="470">
        <f t="shared" si="3"/>
        <v>1905</v>
      </c>
      <c r="C31" s="367">
        <f t="shared" ref="C31:Q31" si="9">IFERROR(C19/C$24,0)</f>
        <v>0</v>
      </c>
      <c r="D31" s="14">
        <f t="shared" si="9"/>
        <v>0</v>
      </c>
      <c r="E31" s="14">
        <f t="shared" si="9"/>
        <v>0</v>
      </c>
      <c r="F31" s="14">
        <f t="shared" si="9"/>
        <v>0</v>
      </c>
      <c r="G31" s="14">
        <f t="shared" si="9"/>
        <v>0</v>
      </c>
      <c r="H31" s="14">
        <f t="shared" si="9"/>
        <v>0</v>
      </c>
      <c r="I31" s="14">
        <f t="shared" si="9"/>
        <v>0</v>
      </c>
      <c r="J31" s="14">
        <f t="shared" si="9"/>
        <v>0</v>
      </c>
      <c r="K31" s="14">
        <f t="shared" si="9"/>
        <v>0</v>
      </c>
      <c r="L31" s="14">
        <f t="shared" si="9"/>
        <v>0</v>
      </c>
      <c r="M31" s="14">
        <f t="shared" si="9"/>
        <v>0</v>
      </c>
      <c r="N31" s="14">
        <f t="shared" si="9"/>
        <v>0</v>
      </c>
      <c r="O31" s="14">
        <f t="shared" si="9"/>
        <v>0</v>
      </c>
      <c r="P31" s="14">
        <f t="shared" si="9"/>
        <v>0</v>
      </c>
      <c r="Q31" s="368">
        <f t="shared" si="9"/>
        <v>0</v>
      </c>
      <c r="R31" s="14"/>
    </row>
    <row r="32" spans="2:18" x14ac:dyDescent="0.25">
      <c r="B32" s="470">
        <f t="shared" si="3"/>
        <v>1906</v>
      </c>
      <c r="C32" s="367">
        <f t="shared" ref="C32:Q32" si="10">IFERROR(C20/C$24,0)</f>
        <v>0</v>
      </c>
      <c r="D32" s="14">
        <f t="shared" si="10"/>
        <v>0</v>
      </c>
      <c r="E32" s="14">
        <f t="shared" si="10"/>
        <v>0</v>
      </c>
      <c r="F32" s="14">
        <f t="shared" si="10"/>
        <v>0</v>
      </c>
      <c r="G32" s="14">
        <f t="shared" si="10"/>
        <v>0</v>
      </c>
      <c r="H32" s="14">
        <f t="shared" si="10"/>
        <v>0</v>
      </c>
      <c r="I32" s="14">
        <f t="shared" si="10"/>
        <v>0</v>
      </c>
      <c r="J32" s="14">
        <f t="shared" si="10"/>
        <v>0</v>
      </c>
      <c r="K32" s="14">
        <f t="shared" si="10"/>
        <v>0</v>
      </c>
      <c r="L32" s="14">
        <f t="shared" si="10"/>
        <v>0</v>
      </c>
      <c r="M32" s="14">
        <f t="shared" si="10"/>
        <v>0</v>
      </c>
      <c r="N32" s="14">
        <f t="shared" si="10"/>
        <v>0</v>
      </c>
      <c r="O32" s="14">
        <f t="shared" si="10"/>
        <v>0</v>
      </c>
      <c r="P32" s="14">
        <f t="shared" si="10"/>
        <v>0</v>
      </c>
      <c r="Q32" s="368">
        <f t="shared" si="10"/>
        <v>0</v>
      </c>
      <c r="R32" s="14"/>
    </row>
    <row r="33" spans="2:18" x14ac:dyDescent="0.25">
      <c r="B33" s="470">
        <f t="shared" si="3"/>
        <v>1907</v>
      </c>
      <c r="C33" s="367">
        <f t="shared" ref="C33:Q33" si="11">IFERROR(C21/C$24,0)</f>
        <v>0</v>
      </c>
      <c r="D33" s="14">
        <f t="shared" si="11"/>
        <v>0</v>
      </c>
      <c r="E33" s="14">
        <f t="shared" si="11"/>
        <v>0</v>
      </c>
      <c r="F33" s="14">
        <f t="shared" si="11"/>
        <v>0</v>
      </c>
      <c r="G33" s="14">
        <f t="shared" si="11"/>
        <v>0</v>
      </c>
      <c r="H33" s="14">
        <f t="shared" si="11"/>
        <v>0</v>
      </c>
      <c r="I33" s="14">
        <f t="shared" si="11"/>
        <v>0</v>
      </c>
      <c r="J33" s="14">
        <f t="shared" si="11"/>
        <v>0</v>
      </c>
      <c r="K33" s="14">
        <f t="shared" si="11"/>
        <v>0</v>
      </c>
      <c r="L33" s="14">
        <f t="shared" si="11"/>
        <v>0</v>
      </c>
      <c r="M33" s="14">
        <f t="shared" si="11"/>
        <v>0</v>
      </c>
      <c r="N33" s="14">
        <f t="shared" si="11"/>
        <v>0</v>
      </c>
      <c r="O33" s="14">
        <f t="shared" si="11"/>
        <v>0</v>
      </c>
      <c r="P33" s="14">
        <f t="shared" si="11"/>
        <v>0</v>
      </c>
      <c r="Q33" s="368">
        <f t="shared" si="11"/>
        <v>0</v>
      </c>
      <c r="R33" s="14"/>
    </row>
    <row r="34" spans="2:18" x14ac:dyDescent="0.25">
      <c r="B34" s="470">
        <f t="shared" si="3"/>
        <v>1908</v>
      </c>
      <c r="C34" s="367">
        <f t="shared" ref="C34:Q34" si="12">IFERROR(C22/C$24,0)</f>
        <v>0</v>
      </c>
      <c r="D34" s="14">
        <f t="shared" si="12"/>
        <v>0</v>
      </c>
      <c r="E34" s="14">
        <f t="shared" si="12"/>
        <v>0</v>
      </c>
      <c r="F34" s="14">
        <f t="shared" si="12"/>
        <v>0</v>
      </c>
      <c r="G34" s="14">
        <f t="shared" si="12"/>
        <v>0</v>
      </c>
      <c r="H34" s="14">
        <f t="shared" si="12"/>
        <v>0</v>
      </c>
      <c r="I34" s="14">
        <f t="shared" si="12"/>
        <v>0</v>
      </c>
      <c r="J34" s="14">
        <f t="shared" si="12"/>
        <v>0</v>
      </c>
      <c r="K34" s="14">
        <f t="shared" si="12"/>
        <v>0</v>
      </c>
      <c r="L34" s="14">
        <f t="shared" si="12"/>
        <v>0</v>
      </c>
      <c r="M34" s="14">
        <f t="shared" si="12"/>
        <v>0</v>
      </c>
      <c r="N34" s="14">
        <f t="shared" si="12"/>
        <v>0</v>
      </c>
      <c r="O34" s="14">
        <f t="shared" si="12"/>
        <v>0</v>
      </c>
      <c r="P34" s="14">
        <f t="shared" si="12"/>
        <v>0</v>
      </c>
      <c r="Q34" s="368">
        <f t="shared" si="12"/>
        <v>0</v>
      </c>
      <c r="R34" s="14"/>
    </row>
    <row r="35" spans="2:18" x14ac:dyDescent="0.25">
      <c r="B35" s="470">
        <f t="shared" si="3"/>
        <v>1909</v>
      </c>
      <c r="C35" s="369">
        <f t="shared" ref="C35:L35" si="13">IFERROR(C22/C$24,0)</f>
        <v>0</v>
      </c>
      <c r="D35" s="51">
        <f t="shared" si="13"/>
        <v>0</v>
      </c>
      <c r="E35" s="51">
        <f t="shared" si="13"/>
        <v>0</v>
      </c>
      <c r="F35" s="51">
        <f t="shared" si="13"/>
        <v>0</v>
      </c>
      <c r="G35" s="51">
        <f t="shared" si="13"/>
        <v>0</v>
      </c>
      <c r="H35" s="51">
        <f t="shared" si="13"/>
        <v>0</v>
      </c>
      <c r="I35" s="51">
        <f t="shared" si="13"/>
        <v>0</v>
      </c>
      <c r="J35" s="51">
        <f t="shared" si="13"/>
        <v>0</v>
      </c>
      <c r="K35" s="51">
        <f t="shared" si="13"/>
        <v>0</v>
      </c>
      <c r="L35" s="51">
        <f t="shared" si="13"/>
        <v>0</v>
      </c>
      <c r="M35" s="51">
        <f>IFERROR(M23/M$24,0)</f>
        <v>0</v>
      </c>
      <c r="N35" s="51">
        <f>IFERROR(N23/N$24,0)</f>
        <v>0</v>
      </c>
      <c r="O35" s="51">
        <f>IFERROR(O23/O$24,0)</f>
        <v>0</v>
      </c>
      <c r="P35" s="51">
        <f>IFERROR(P23/P$24,0)</f>
        <v>0</v>
      </c>
      <c r="Q35" s="370">
        <f>IFERROR(Q23/Q$24,0)</f>
        <v>0</v>
      </c>
      <c r="R35" s="14"/>
    </row>
    <row r="36" spans="2:18" x14ac:dyDescent="0.25">
      <c r="B36" s="14"/>
      <c r="C36" s="471">
        <f t="shared" ref="C36:Q36" si="14">SUM(C26:C35)</f>
        <v>0</v>
      </c>
      <c r="D36" s="471">
        <f t="shared" si="14"/>
        <v>0</v>
      </c>
      <c r="E36" s="471">
        <f t="shared" si="14"/>
        <v>0</v>
      </c>
      <c r="F36" s="471">
        <f t="shared" si="14"/>
        <v>0</v>
      </c>
      <c r="G36" s="471">
        <f t="shared" si="14"/>
        <v>0</v>
      </c>
      <c r="H36" s="471">
        <f t="shared" si="14"/>
        <v>0</v>
      </c>
      <c r="I36" s="471">
        <f t="shared" si="14"/>
        <v>0</v>
      </c>
      <c r="J36" s="471">
        <f t="shared" si="14"/>
        <v>0</v>
      </c>
      <c r="K36" s="471">
        <f t="shared" si="14"/>
        <v>0</v>
      </c>
      <c r="L36" s="471">
        <f t="shared" si="14"/>
        <v>0</v>
      </c>
      <c r="M36" s="471">
        <f t="shared" si="14"/>
        <v>0</v>
      </c>
      <c r="N36" s="471">
        <f t="shared" si="14"/>
        <v>0</v>
      </c>
      <c r="O36" s="471">
        <f t="shared" si="14"/>
        <v>0</v>
      </c>
      <c r="P36" s="471">
        <f t="shared" si="14"/>
        <v>0</v>
      </c>
      <c r="Q36" s="471">
        <f t="shared" si="14"/>
        <v>0</v>
      </c>
      <c r="R36" s="14"/>
    </row>
    <row r="37" spans="2:18" x14ac:dyDescent="0.25">
      <c r="B37" s="14"/>
      <c r="C37" s="14"/>
      <c r="D37" s="14"/>
      <c r="E37" s="14"/>
      <c r="F37" s="14"/>
      <c r="G37" s="14"/>
      <c r="H37" s="14"/>
      <c r="I37" s="14"/>
      <c r="J37" s="14"/>
      <c r="K37" s="14"/>
      <c r="L37" s="14"/>
      <c r="M37" s="14"/>
      <c r="N37" s="14"/>
      <c r="O37" s="14"/>
      <c r="P37" s="14"/>
      <c r="Q37" s="14"/>
      <c r="R37" s="14"/>
    </row>
    <row r="38" spans="2:18" x14ac:dyDescent="0.25">
      <c r="B38" s="470">
        <f t="shared" ref="B38:B47" si="15">B3</f>
        <v>1900</v>
      </c>
      <c r="C38" s="371">
        <f>C26*Mijlpalenbegroting!C$23</f>
        <v>0</v>
      </c>
      <c r="D38" s="372">
        <f>D26*Mijlpalenbegroting!D$23</f>
        <v>0</v>
      </c>
      <c r="E38" s="372">
        <f>E26*Mijlpalenbegroting!E$23</f>
        <v>0</v>
      </c>
      <c r="F38" s="372">
        <f>F26*Mijlpalenbegroting!F$23</f>
        <v>0</v>
      </c>
      <c r="G38" s="372">
        <f>G26*Mijlpalenbegroting!G$23</f>
        <v>0</v>
      </c>
      <c r="H38" s="372">
        <f>H26*Mijlpalenbegroting!H$23</f>
        <v>0</v>
      </c>
      <c r="I38" s="372">
        <f>I26*Mijlpalenbegroting!I$23</f>
        <v>0</v>
      </c>
      <c r="J38" s="372">
        <f>J26*Mijlpalenbegroting!J$23</f>
        <v>0</v>
      </c>
      <c r="K38" s="372">
        <f>K26*Mijlpalenbegroting!K$23</f>
        <v>0</v>
      </c>
      <c r="L38" s="372">
        <f>L26*Mijlpalenbegroting!L$23</f>
        <v>0</v>
      </c>
      <c r="M38" s="474">
        <f>M26*Mijlpalenbegroting!M$23</f>
        <v>0</v>
      </c>
      <c r="N38" s="474">
        <f>N26*Mijlpalenbegroting!N$23</f>
        <v>0</v>
      </c>
      <c r="O38" s="474">
        <f>O26*Mijlpalenbegroting!O$23</f>
        <v>0</v>
      </c>
      <c r="P38" s="474">
        <f>P26*Mijlpalenbegroting!P$23</f>
        <v>0</v>
      </c>
      <c r="Q38" s="468">
        <f>Q26*Mijlpalenbegroting!Q$23</f>
        <v>0</v>
      </c>
      <c r="R38" s="374">
        <f t="shared" ref="R38:R47" si="16">SUM(C38:Q38)</f>
        <v>0</v>
      </c>
    </row>
    <row r="39" spans="2:18" x14ac:dyDescent="0.25">
      <c r="B39" s="470">
        <f t="shared" si="15"/>
        <v>1901</v>
      </c>
      <c r="C39" s="490">
        <f>C27*Mijlpalenbegroting!C$23</f>
        <v>0</v>
      </c>
      <c r="D39" s="488">
        <f>D27*Mijlpalenbegroting!D$23</f>
        <v>0</v>
      </c>
      <c r="E39" s="488">
        <f>E27*Mijlpalenbegroting!E$23</f>
        <v>0</v>
      </c>
      <c r="F39" s="488">
        <f>F27*Mijlpalenbegroting!F$23</f>
        <v>0</v>
      </c>
      <c r="G39" s="488">
        <f>G27*Mijlpalenbegroting!G$23</f>
        <v>0</v>
      </c>
      <c r="H39" s="488">
        <f>H27*Mijlpalenbegroting!H$23</f>
        <v>0</v>
      </c>
      <c r="I39" s="488">
        <f>I27*Mijlpalenbegroting!I$23</f>
        <v>0</v>
      </c>
      <c r="J39" s="488">
        <f>J27*Mijlpalenbegroting!J$23</f>
        <v>0</v>
      </c>
      <c r="K39" s="488">
        <f>K27*Mijlpalenbegroting!K$23</f>
        <v>0</v>
      </c>
      <c r="L39" s="488">
        <f>L27*Mijlpalenbegroting!L$23</f>
        <v>0</v>
      </c>
      <c r="M39" s="488">
        <f>M27*Mijlpalenbegroting!M$23</f>
        <v>0</v>
      </c>
      <c r="N39" s="488">
        <f>N27*Mijlpalenbegroting!N$23</f>
        <v>0</v>
      </c>
      <c r="O39" s="488">
        <f>O27*Mijlpalenbegroting!O$23</f>
        <v>0</v>
      </c>
      <c r="P39" s="488">
        <f>P27*Mijlpalenbegroting!P$23</f>
        <v>0</v>
      </c>
      <c r="Q39" s="475">
        <f>Q27*Mijlpalenbegroting!Q$23</f>
        <v>0</v>
      </c>
      <c r="R39" s="374">
        <f t="shared" si="16"/>
        <v>0</v>
      </c>
    </row>
    <row r="40" spans="2:18" x14ac:dyDescent="0.25">
      <c r="B40" s="470">
        <f t="shared" si="15"/>
        <v>1902</v>
      </c>
      <c r="C40" s="490">
        <f>C28*Mijlpalenbegroting!C$23</f>
        <v>0</v>
      </c>
      <c r="D40" s="488">
        <f>D28*Mijlpalenbegroting!D$23</f>
        <v>0</v>
      </c>
      <c r="E40" s="488">
        <f>E28*Mijlpalenbegroting!E$23</f>
        <v>0</v>
      </c>
      <c r="F40" s="488">
        <f>F28*Mijlpalenbegroting!F$23</f>
        <v>0</v>
      </c>
      <c r="G40" s="488">
        <f>G28*Mijlpalenbegroting!G$23</f>
        <v>0</v>
      </c>
      <c r="H40" s="488">
        <f>H28*Mijlpalenbegroting!H$23</f>
        <v>0</v>
      </c>
      <c r="I40" s="488">
        <f>I28*Mijlpalenbegroting!I$23</f>
        <v>0</v>
      </c>
      <c r="J40" s="488">
        <f>J28*Mijlpalenbegroting!J$23</f>
        <v>0</v>
      </c>
      <c r="K40" s="488">
        <f>K28*Mijlpalenbegroting!K$23</f>
        <v>0</v>
      </c>
      <c r="L40" s="488">
        <f>L28*Mijlpalenbegroting!L$23</f>
        <v>0</v>
      </c>
      <c r="M40" s="488">
        <f>M28*Mijlpalenbegroting!M$23</f>
        <v>0</v>
      </c>
      <c r="N40" s="488">
        <f>N28*Mijlpalenbegroting!N$23</f>
        <v>0</v>
      </c>
      <c r="O40" s="488">
        <f>O28*Mijlpalenbegroting!O$23</f>
        <v>0</v>
      </c>
      <c r="P40" s="488">
        <f>P28*Mijlpalenbegroting!P$23</f>
        <v>0</v>
      </c>
      <c r="Q40" s="475">
        <f>Q28*Mijlpalenbegroting!Q$23</f>
        <v>0</v>
      </c>
      <c r="R40" s="374">
        <f t="shared" si="16"/>
        <v>0</v>
      </c>
    </row>
    <row r="41" spans="2:18" x14ac:dyDescent="0.25">
      <c r="B41" s="470">
        <f t="shared" si="15"/>
        <v>1903</v>
      </c>
      <c r="C41" s="490">
        <f>C29*Mijlpalenbegroting!C$23</f>
        <v>0</v>
      </c>
      <c r="D41" s="488">
        <f>D29*Mijlpalenbegroting!D$23</f>
        <v>0</v>
      </c>
      <c r="E41" s="488">
        <f>E29*Mijlpalenbegroting!E$23</f>
        <v>0</v>
      </c>
      <c r="F41" s="488">
        <f>F29*Mijlpalenbegroting!F$23</f>
        <v>0</v>
      </c>
      <c r="G41" s="488">
        <f>G29*Mijlpalenbegroting!G$23</f>
        <v>0</v>
      </c>
      <c r="H41" s="488">
        <f>H29*Mijlpalenbegroting!H$23</f>
        <v>0</v>
      </c>
      <c r="I41" s="488">
        <f>I29*Mijlpalenbegroting!I$23</f>
        <v>0</v>
      </c>
      <c r="J41" s="488">
        <f>J29*Mijlpalenbegroting!J$23</f>
        <v>0</v>
      </c>
      <c r="K41" s="488">
        <f>K29*Mijlpalenbegroting!K$23</f>
        <v>0</v>
      </c>
      <c r="L41" s="488">
        <f>L29*Mijlpalenbegroting!L$23</f>
        <v>0</v>
      </c>
      <c r="M41" s="488">
        <f>M29*Mijlpalenbegroting!M$23</f>
        <v>0</v>
      </c>
      <c r="N41" s="488">
        <f>N29*Mijlpalenbegroting!N$23</f>
        <v>0</v>
      </c>
      <c r="O41" s="488">
        <f>O29*Mijlpalenbegroting!O$23</f>
        <v>0</v>
      </c>
      <c r="P41" s="488">
        <f>P29*Mijlpalenbegroting!P$23</f>
        <v>0</v>
      </c>
      <c r="Q41" s="475">
        <f>Q29*Mijlpalenbegroting!Q$23</f>
        <v>0</v>
      </c>
      <c r="R41" s="374">
        <f t="shared" si="16"/>
        <v>0</v>
      </c>
    </row>
    <row r="42" spans="2:18" x14ac:dyDescent="0.25">
      <c r="B42" s="470">
        <f t="shared" si="15"/>
        <v>1904</v>
      </c>
      <c r="C42" s="490">
        <f>C30*Mijlpalenbegroting!C$23</f>
        <v>0</v>
      </c>
      <c r="D42" s="488">
        <f>D30*Mijlpalenbegroting!D$23</f>
        <v>0</v>
      </c>
      <c r="E42" s="488">
        <f>E30*Mijlpalenbegroting!E$23</f>
        <v>0</v>
      </c>
      <c r="F42" s="488">
        <f>F30*Mijlpalenbegroting!F$23</f>
        <v>0</v>
      </c>
      <c r="G42" s="488">
        <f>G30*Mijlpalenbegroting!G$23</f>
        <v>0</v>
      </c>
      <c r="H42" s="488">
        <f>H30*Mijlpalenbegroting!H$23</f>
        <v>0</v>
      </c>
      <c r="I42" s="488">
        <f>I30*Mijlpalenbegroting!I$23</f>
        <v>0</v>
      </c>
      <c r="J42" s="488">
        <f>J30*Mijlpalenbegroting!J$23</f>
        <v>0</v>
      </c>
      <c r="K42" s="488">
        <f>K30*Mijlpalenbegroting!K$23</f>
        <v>0</v>
      </c>
      <c r="L42" s="488">
        <f>L30*Mijlpalenbegroting!L$23</f>
        <v>0</v>
      </c>
      <c r="M42" s="488">
        <f>M30*Mijlpalenbegroting!M$23</f>
        <v>0</v>
      </c>
      <c r="N42" s="488">
        <f>N30*Mijlpalenbegroting!N$23</f>
        <v>0</v>
      </c>
      <c r="O42" s="488">
        <f>O30*Mijlpalenbegroting!O$23</f>
        <v>0</v>
      </c>
      <c r="P42" s="488">
        <f>P30*Mijlpalenbegroting!P$23</f>
        <v>0</v>
      </c>
      <c r="Q42" s="475">
        <f>Q30*Mijlpalenbegroting!Q$23</f>
        <v>0</v>
      </c>
      <c r="R42" s="374">
        <f t="shared" si="16"/>
        <v>0</v>
      </c>
    </row>
    <row r="43" spans="2:18" x14ac:dyDescent="0.25">
      <c r="B43" s="470">
        <f t="shared" si="15"/>
        <v>1905</v>
      </c>
      <c r="C43" s="490">
        <f>C31*Mijlpalenbegroting!C$23</f>
        <v>0</v>
      </c>
      <c r="D43" s="488">
        <f>D31*Mijlpalenbegroting!D$23</f>
        <v>0</v>
      </c>
      <c r="E43" s="488">
        <f>E31*Mijlpalenbegroting!E$23</f>
        <v>0</v>
      </c>
      <c r="F43" s="488">
        <f>F31*Mijlpalenbegroting!F$23</f>
        <v>0</v>
      </c>
      <c r="G43" s="488">
        <f>G31*Mijlpalenbegroting!G$23</f>
        <v>0</v>
      </c>
      <c r="H43" s="488">
        <f>H31*Mijlpalenbegroting!H$23</f>
        <v>0</v>
      </c>
      <c r="I43" s="488">
        <f>I31*Mijlpalenbegroting!I$23</f>
        <v>0</v>
      </c>
      <c r="J43" s="488">
        <f>J31*Mijlpalenbegroting!J$23</f>
        <v>0</v>
      </c>
      <c r="K43" s="488">
        <f>K31*Mijlpalenbegroting!K$23</f>
        <v>0</v>
      </c>
      <c r="L43" s="488">
        <f>L31*Mijlpalenbegroting!L$23</f>
        <v>0</v>
      </c>
      <c r="M43" s="488">
        <f>M31*Mijlpalenbegroting!M$23</f>
        <v>0</v>
      </c>
      <c r="N43" s="488">
        <f>N31*Mijlpalenbegroting!N$23</f>
        <v>0</v>
      </c>
      <c r="O43" s="488">
        <f>O31*Mijlpalenbegroting!O$23</f>
        <v>0</v>
      </c>
      <c r="P43" s="488">
        <f>P31*Mijlpalenbegroting!P$23</f>
        <v>0</v>
      </c>
      <c r="Q43" s="475">
        <f>Q31*Mijlpalenbegroting!Q$23</f>
        <v>0</v>
      </c>
      <c r="R43" s="374">
        <f t="shared" si="16"/>
        <v>0</v>
      </c>
    </row>
    <row r="44" spans="2:18" x14ac:dyDescent="0.25">
      <c r="B44" s="470">
        <f t="shared" si="15"/>
        <v>1906</v>
      </c>
      <c r="C44" s="490">
        <f>C32*Mijlpalenbegroting!C$23</f>
        <v>0</v>
      </c>
      <c r="D44" s="488">
        <f>D32*Mijlpalenbegroting!D$23</f>
        <v>0</v>
      </c>
      <c r="E44" s="488">
        <f>E32*Mijlpalenbegroting!E$23</f>
        <v>0</v>
      </c>
      <c r="F44" s="488">
        <f>F32*Mijlpalenbegroting!F$23</f>
        <v>0</v>
      </c>
      <c r="G44" s="488">
        <f>G32*Mijlpalenbegroting!G$23</f>
        <v>0</v>
      </c>
      <c r="H44" s="488">
        <f>H32*Mijlpalenbegroting!H$23</f>
        <v>0</v>
      </c>
      <c r="I44" s="488">
        <f>I32*Mijlpalenbegroting!I$23</f>
        <v>0</v>
      </c>
      <c r="J44" s="488">
        <f>J32*Mijlpalenbegroting!J$23</f>
        <v>0</v>
      </c>
      <c r="K44" s="488">
        <f>K32*Mijlpalenbegroting!K$23</f>
        <v>0</v>
      </c>
      <c r="L44" s="488">
        <f>L32*Mijlpalenbegroting!L$23</f>
        <v>0</v>
      </c>
      <c r="M44" s="488">
        <f>M32*Mijlpalenbegroting!M$23</f>
        <v>0</v>
      </c>
      <c r="N44" s="488">
        <f>N32*Mijlpalenbegroting!N$23</f>
        <v>0</v>
      </c>
      <c r="O44" s="488">
        <f>O32*Mijlpalenbegroting!O$23</f>
        <v>0</v>
      </c>
      <c r="P44" s="488">
        <f>P32*Mijlpalenbegroting!P$23</f>
        <v>0</v>
      </c>
      <c r="Q44" s="475">
        <f>Q32*Mijlpalenbegroting!Q$23</f>
        <v>0</v>
      </c>
      <c r="R44" s="374">
        <f t="shared" si="16"/>
        <v>0</v>
      </c>
    </row>
    <row r="45" spans="2:18" x14ac:dyDescent="0.25">
      <c r="B45" s="470">
        <f t="shared" si="15"/>
        <v>1907</v>
      </c>
      <c r="C45" s="490">
        <f>C33*Mijlpalenbegroting!C$23</f>
        <v>0</v>
      </c>
      <c r="D45" s="488">
        <f>D33*Mijlpalenbegroting!D$23</f>
        <v>0</v>
      </c>
      <c r="E45" s="488">
        <f>E33*Mijlpalenbegroting!E$23</f>
        <v>0</v>
      </c>
      <c r="F45" s="488">
        <f>F33*Mijlpalenbegroting!F$23</f>
        <v>0</v>
      </c>
      <c r="G45" s="488">
        <f>G33*Mijlpalenbegroting!G$23</f>
        <v>0</v>
      </c>
      <c r="H45" s="488">
        <f>H33*Mijlpalenbegroting!H$23</f>
        <v>0</v>
      </c>
      <c r="I45" s="488">
        <f>I33*Mijlpalenbegroting!I$23</f>
        <v>0</v>
      </c>
      <c r="J45" s="488">
        <f>J33*Mijlpalenbegroting!J$23</f>
        <v>0</v>
      </c>
      <c r="K45" s="488">
        <f>K33*Mijlpalenbegroting!K$23</f>
        <v>0</v>
      </c>
      <c r="L45" s="488">
        <f>L33*Mijlpalenbegroting!L$23</f>
        <v>0</v>
      </c>
      <c r="M45" s="488">
        <f>M33*Mijlpalenbegroting!M$23</f>
        <v>0</v>
      </c>
      <c r="N45" s="488">
        <f>N33*Mijlpalenbegroting!N$23</f>
        <v>0</v>
      </c>
      <c r="O45" s="488">
        <f>O33*Mijlpalenbegroting!O$23</f>
        <v>0</v>
      </c>
      <c r="P45" s="488">
        <f>P33*Mijlpalenbegroting!P$23</f>
        <v>0</v>
      </c>
      <c r="Q45" s="475">
        <f>Q33*Mijlpalenbegroting!Q$23</f>
        <v>0</v>
      </c>
      <c r="R45" s="374">
        <f t="shared" si="16"/>
        <v>0</v>
      </c>
    </row>
    <row r="46" spans="2:18" x14ac:dyDescent="0.25">
      <c r="B46" s="470">
        <f t="shared" si="15"/>
        <v>1908</v>
      </c>
      <c r="C46" s="490">
        <f>C34*Mijlpalenbegroting!C$23</f>
        <v>0</v>
      </c>
      <c r="D46" s="488">
        <f>D34*Mijlpalenbegroting!D$23</f>
        <v>0</v>
      </c>
      <c r="E46" s="488">
        <f>E34*Mijlpalenbegroting!E$23</f>
        <v>0</v>
      </c>
      <c r="F46" s="488">
        <f>F34*Mijlpalenbegroting!F$23</f>
        <v>0</v>
      </c>
      <c r="G46" s="488">
        <f>G34*Mijlpalenbegroting!G$23</f>
        <v>0</v>
      </c>
      <c r="H46" s="488">
        <f>H34*Mijlpalenbegroting!H$23</f>
        <v>0</v>
      </c>
      <c r="I46" s="488">
        <f>I34*Mijlpalenbegroting!I$23</f>
        <v>0</v>
      </c>
      <c r="J46" s="488">
        <f>J34*Mijlpalenbegroting!J$23</f>
        <v>0</v>
      </c>
      <c r="K46" s="488">
        <f>K34*Mijlpalenbegroting!K$23</f>
        <v>0</v>
      </c>
      <c r="L46" s="488">
        <f>L34*Mijlpalenbegroting!L$23</f>
        <v>0</v>
      </c>
      <c r="M46" s="488">
        <f>M34*Mijlpalenbegroting!M$23</f>
        <v>0</v>
      </c>
      <c r="N46" s="488">
        <f>N34*Mijlpalenbegroting!N$23</f>
        <v>0</v>
      </c>
      <c r="O46" s="488">
        <f>O34*Mijlpalenbegroting!O$23</f>
        <v>0</v>
      </c>
      <c r="P46" s="488">
        <f>P34*Mijlpalenbegroting!P$23</f>
        <v>0</v>
      </c>
      <c r="Q46" s="475">
        <f>Q34*Mijlpalenbegroting!Q$23</f>
        <v>0</v>
      </c>
      <c r="R46" s="374">
        <f t="shared" si="16"/>
        <v>0</v>
      </c>
    </row>
    <row r="47" spans="2:18" x14ac:dyDescent="0.25">
      <c r="B47" s="470">
        <f t="shared" si="15"/>
        <v>1909</v>
      </c>
      <c r="C47" s="492">
        <f>C35*Mijlpalenbegroting!C$23</f>
        <v>0</v>
      </c>
      <c r="D47" s="476">
        <f>D35*Mijlpalenbegroting!D$23</f>
        <v>0</v>
      </c>
      <c r="E47" s="476">
        <f>E35*Mijlpalenbegroting!E$23</f>
        <v>0</v>
      </c>
      <c r="F47" s="476">
        <f>F35*Mijlpalenbegroting!F$23</f>
        <v>0</v>
      </c>
      <c r="G47" s="476">
        <f>G35*Mijlpalenbegroting!G$23</f>
        <v>0</v>
      </c>
      <c r="H47" s="476">
        <f>H35*Mijlpalenbegroting!H$23</f>
        <v>0</v>
      </c>
      <c r="I47" s="476">
        <f>I35*Mijlpalenbegroting!I$23</f>
        <v>0</v>
      </c>
      <c r="J47" s="476">
        <f>J35*Mijlpalenbegroting!J$23</f>
        <v>0</v>
      </c>
      <c r="K47" s="476">
        <f>K35*Mijlpalenbegroting!K$23</f>
        <v>0</v>
      </c>
      <c r="L47" s="476">
        <f>L35*Mijlpalenbegroting!L$23</f>
        <v>0</v>
      </c>
      <c r="M47" s="476">
        <f>M35*Mijlpalenbegroting!M$23</f>
        <v>0</v>
      </c>
      <c r="N47" s="476">
        <f>N35*Mijlpalenbegroting!N$23</f>
        <v>0</v>
      </c>
      <c r="O47" s="476">
        <f>O35*Mijlpalenbegroting!O$23</f>
        <v>0</v>
      </c>
      <c r="P47" s="476">
        <f>P35*Mijlpalenbegroting!P$23</f>
        <v>0</v>
      </c>
      <c r="Q47" s="477">
        <f>Q35*Mijlpalenbegroting!Q$23</f>
        <v>0</v>
      </c>
      <c r="R47" s="374">
        <f t="shared" si="16"/>
        <v>0</v>
      </c>
    </row>
    <row r="48" spans="2:18" x14ac:dyDescent="0.25">
      <c r="B48" s="14"/>
      <c r="C48" s="374">
        <f t="shared" ref="C48:Q48" si="17">SUM(C38:C47)</f>
        <v>0</v>
      </c>
      <c r="D48" s="374">
        <f t="shared" si="17"/>
        <v>0</v>
      </c>
      <c r="E48" s="374">
        <f t="shared" si="17"/>
        <v>0</v>
      </c>
      <c r="F48" s="374">
        <f t="shared" si="17"/>
        <v>0</v>
      </c>
      <c r="G48" s="374">
        <f t="shared" si="17"/>
        <v>0</v>
      </c>
      <c r="H48" s="374">
        <f t="shared" si="17"/>
        <v>0</v>
      </c>
      <c r="I48" s="374">
        <f t="shared" si="17"/>
        <v>0</v>
      </c>
      <c r="J48" s="374">
        <f t="shared" si="17"/>
        <v>0</v>
      </c>
      <c r="K48" s="374">
        <f t="shared" si="17"/>
        <v>0</v>
      </c>
      <c r="L48" s="374">
        <f t="shared" si="17"/>
        <v>0</v>
      </c>
      <c r="M48" s="374">
        <f t="shared" si="17"/>
        <v>0</v>
      </c>
      <c r="N48" s="374">
        <f t="shared" si="17"/>
        <v>0</v>
      </c>
      <c r="O48" s="374">
        <f t="shared" si="17"/>
        <v>0</v>
      </c>
      <c r="P48" s="374">
        <f t="shared" si="17"/>
        <v>0</v>
      </c>
      <c r="Q48" s="374">
        <f t="shared" si="17"/>
        <v>0</v>
      </c>
      <c r="R48" s="374">
        <f>SUM(R38:R47)</f>
        <v>0</v>
      </c>
    </row>
    <row r="49" spans="2:18" x14ac:dyDescent="0.25">
      <c r="B49" s="14"/>
      <c r="C49" s="14"/>
      <c r="D49" s="14"/>
      <c r="E49" s="14"/>
      <c r="F49" s="14"/>
      <c r="G49" s="14"/>
      <c r="H49" s="14"/>
      <c r="I49" s="14"/>
      <c r="J49" s="14"/>
      <c r="K49" s="14"/>
      <c r="L49" s="14"/>
      <c r="M49" s="14"/>
      <c r="N49" s="14"/>
      <c r="O49" s="14"/>
      <c r="P49" s="14"/>
      <c r="Q49" s="14"/>
      <c r="R49" s="14"/>
    </row>
    <row r="50" spans="2:18" x14ac:dyDescent="0.25">
      <c r="B50" s="14" t="s">
        <v>629</v>
      </c>
      <c r="C50" s="470" cm="1">
        <f t="array" ref="C50:L50">TRANSPOSE(B26:B35)</f>
        <v>1900</v>
      </c>
      <c r="D50" s="14">
        <v>1901</v>
      </c>
      <c r="E50" s="14">
        <v>1902</v>
      </c>
      <c r="F50" s="14">
        <v>1903</v>
      </c>
      <c r="G50" s="14">
        <v>1904</v>
      </c>
      <c r="H50" s="14">
        <v>1905</v>
      </c>
      <c r="I50" s="14">
        <v>1906</v>
      </c>
      <c r="J50" s="14">
        <v>1907</v>
      </c>
      <c r="K50" s="14">
        <v>1908</v>
      </c>
      <c r="L50" s="14">
        <v>1909</v>
      </c>
      <c r="M50" s="14"/>
      <c r="N50" s="14"/>
      <c r="O50" s="14"/>
      <c r="P50" s="14"/>
      <c r="Q50" s="14"/>
      <c r="R50" s="14"/>
    </row>
    <row r="51" spans="2:18" x14ac:dyDescent="0.25">
      <c r="B51" s="14">
        <v>1</v>
      </c>
      <c r="C51" s="480" cm="1">
        <f t="array" ref="C51:L51">TRANSPOSE(C26:C35)</f>
        <v>0</v>
      </c>
      <c r="D51" s="481">
        <v>0</v>
      </c>
      <c r="E51" s="481">
        <v>0</v>
      </c>
      <c r="F51" s="481">
        <v>0</v>
      </c>
      <c r="G51" s="481">
        <v>0</v>
      </c>
      <c r="H51" s="481">
        <v>0</v>
      </c>
      <c r="I51" s="481">
        <v>0</v>
      </c>
      <c r="J51" s="481">
        <v>0</v>
      </c>
      <c r="K51" s="481">
        <v>0</v>
      </c>
      <c r="L51" s="482">
        <v>0</v>
      </c>
      <c r="M51" s="473">
        <f t="shared" ref="M51:M65" si="18">SUM(C51:L51)</f>
        <v>0</v>
      </c>
      <c r="N51" s="479"/>
      <c r="O51" s="479"/>
      <c r="P51" s="479"/>
      <c r="Q51" s="479"/>
    </row>
    <row r="52" spans="2:18" x14ac:dyDescent="0.25">
      <c r="B52" s="14">
        <v>2</v>
      </c>
      <c r="C52" s="483" cm="1">
        <f t="array" ref="C52:L52">TRANSPOSE(D26:D35)</f>
        <v>0</v>
      </c>
      <c r="D52" s="378">
        <v>0</v>
      </c>
      <c r="E52" s="378">
        <v>0</v>
      </c>
      <c r="F52" s="378">
        <v>0</v>
      </c>
      <c r="G52" s="378">
        <v>0</v>
      </c>
      <c r="H52" s="378">
        <v>0</v>
      </c>
      <c r="I52" s="378">
        <v>0</v>
      </c>
      <c r="J52" s="378">
        <v>0</v>
      </c>
      <c r="K52" s="378">
        <v>0</v>
      </c>
      <c r="L52" s="478">
        <v>0</v>
      </c>
      <c r="M52" s="473">
        <f t="shared" si="18"/>
        <v>0</v>
      </c>
      <c r="N52" s="378"/>
      <c r="O52" s="378"/>
      <c r="P52" s="378"/>
      <c r="Q52" s="479"/>
    </row>
    <row r="53" spans="2:18" x14ac:dyDescent="0.25">
      <c r="B53" s="14">
        <v>3</v>
      </c>
      <c r="C53" s="483" cm="1">
        <f t="array" ref="C53:L53">TRANSPOSE(E26:E35)</f>
        <v>0</v>
      </c>
      <c r="D53" s="378">
        <v>0</v>
      </c>
      <c r="E53" s="378">
        <v>0</v>
      </c>
      <c r="F53" s="378">
        <v>0</v>
      </c>
      <c r="G53" s="378">
        <v>0</v>
      </c>
      <c r="H53" s="378">
        <v>0</v>
      </c>
      <c r="I53" s="378">
        <v>0</v>
      </c>
      <c r="J53" s="378">
        <v>0</v>
      </c>
      <c r="K53" s="378">
        <v>0</v>
      </c>
      <c r="L53" s="478">
        <v>0</v>
      </c>
      <c r="M53" s="473">
        <f t="shared" si="18"/>
        <v>0</v>
      </c>
      <c r="N53" s="378"/>
      <c r="O53" s="378"/>
      <c r="P53" s="378"/>
      <c r="Q53" s="479"/>
    </row>
    <row r="54" spans="2:18" x14ac:dyDescent="0.25">
      <c r="B54" s="14">
        <v>4</v>
      </c>
      <c r="C54" s="483" cm="1">
        <f t="array" ref="C54:L54">TRANSPOSE(F26:F35)</f>
        <v>0</v>
      </c>
      <c r="D54" s="378">
        <v>0</v>
      </c>
      <c r="E54" s="378">
        <v>0</v>
      </c>
      <c r="F54" s="378">
        <v>0</v>
      </c>
      <c r="G54" s="378">
        <v>0</v>
      </c>
      <c r="H54" s="378">
        <v>0</v>
      </c>
      <c r="I54" s="378">
        <v>0</v>
      </c>
      <c r="J54" s="378">
        <v>0</v>
      </c>
      <c r="K54" s="378">
        <v>0</v>
      </c>
      <c r="L54" s="478">
        <v>0</v>
      </c>
      <c r="M54" s="473">
        <f t="shared" si="18"/>
        <v>0</v>
      </c>
      <c r="N54" s="378"/>
      <c r="O54" s="378"/>
      <c r="P54" s="378"/>
      <c r="Q54" s="479"/>
    </row>
    <row r="55" spans="2:18" x14ac:dyDescent="0.25">
      <c r="B55" s="14">
        <v>5</v>
      </c>
      <c r="C55" s="483" cm="1">
        <f t="array" ref="C55:L55">TRANSPOSE(G26:G35)</f>
        <v>0</v>
      </c>
      <c r="D55" s="378">
        <v>0</v>
      </c>
      <c r="E55" s="378">
        <v>0</v>
      </c>
      <c r="F55" s="378">
        <v>0</v>
      </c>
      <c r="G55" s="378">
        <v>0</v>
      </c>
      <c r="H55" s="378">
        <v>0</v>
      </c>
      <c r="I55" s="378">
        <v>0</v>
      </c>
      <c r="J55" s="378">
        <v>0</v>
      </c>
      <c r="K55" s="378">
        <v>0</v>
      </c>
      <c r="L55" s="478">
        <v>0</v>
      </c>
      <c r="M55" s="473">
        <f t="shared" si="18"/>
        <v>0</v>
      </c>
      <c r="N55" s="378"/>
      <c r="O55" s="378"/>
      <c r="P55" s="378"/>
      <c r="Q55" s="479"/>
    </row>
    <row r="56" spans="2:18" x14ac:dyDescent="0.25">
      <c r="B56" s="14">
        <v>6</v>
      </c>
      <c r="C56" s="483" cm="1">
        <f t="array" ref="C56:L56">TRANSPOSE(H26:H35)</f>
        <v>0</v>
      </c>
      <c r="D56" s="378">
        <v>0</v>
      </c>
      <c r="E56" s="378">
        <v>0</v>
      </c>
      <c r="F56" s="378">
        <v>0</v>
      </c>
      <c r="G56" s="378">
        <v>0</v>
      </c>
      <c r="H56" s="378">
        <v>0</v>
      </c>
      <c r="I56" s="378">
        <v>0</v>
      </c>
      <c r="J56" s="378">
        <v>0</v>
      </c>
      <c r="K56" s="378">
        <v>0</v>
      </c>
      <c r="L56" s="478">
        <v>0</v>
      </c>
      <c r="M56" s="473">
        <f t="shared" si="18"/>
        <v>0</v>
      </c>
      <c r="N56" s="378"/>
      <c r="O56" s="378"/>
      <c r="P56" s="378"/>
      <c r="Q56" s="479"/>
    </row>
    <row r="57" spans="2:18" x14ac:dyDescent="0.25">
      <c r="B57" s="14">
        <v>7</v>
      </c>
      <c r="C57" s="483" cm="1">
        <f t="array" ref="C57:L57">TRANSPOSE(I26:I35)</f>
        <v>0</v>
      </c>
      <c r="D57" s="378">
        <v>0</v>
      </c>
      <c r="E57" s="378">
        <v>0</v>
      </c>
      <c r="F57" s="378">
        <v>0</v>
      </c>
      <c r="G57" s="378">
        <v>0</v>
      </c>
      <c r="H57" s="378">
        <v>0</v>
      </c>
      <c r="I57" s="378">
        <v>0</v>
      </c>
      <c r="J57" s="378">
        <v>0</v>
      </c>
      <c r="K57" s="378">
        <v>0</v>
      </c>
      <c r="L57" s="478">
        <v>0</v>
      </c>
      <c r="M57" s="473">
        <f t="shared" si="18"/>
        <v>0</v>
      </c>
      <c r="N57" s="378"/>
      <c r="O57" s="378"/>
      <c r="P57" s="378"/>
      <c r="Q57" s="479"/>
    </row>
    <row r="58" spans="2:18" x14ac:dyDescent="0.25">
      <c r="B58" s="14">
        <v>8</v>
      </c>
      <c r="C58" s="483" cm="1">
        <f t="array" ref="C58:L58">TRANSPOSE(J26:J35)</f>
        <v>0</v>
      </c>
      <c r="D58" s="378">
        <v>0</v>
      </c>
      <c r="E58" s="378">
        <v>0</v>
      </c>
      <c r="F58" s="378">
        <v>0</v>
      </c>
      <c r="G58" s="378">
        <v>0</v>
      </c>
      <c r="H58" s="378">
        <v>0</v>
      </c>
      <c r="I58" s="378">
        <v>0</v>
      </c>
      <c r="J58" s="378">
        <v>0</v>
      </c>
      <c r="K58" s="378">
        <v>0</v>
      </c>
      <c r="L58" s="478">
        <v>0</v>
      </c>
      <c r="M58" s="473">
        <f t="shared" si="18"/>
        <v>0</v>
      </c>
      <c r="N58" s="378"/>
      <c r="O58" s="378"/>
      <c r="P58" s="378"/>
      <c r="Q58" s="479"/>
    </row>
    <row r="59" spans="2:18" x14ac:dyDescent="0.25">
      <c r="B59" s="14">
        <v>9</v>
      </c>
      <c r="C59" s="483" cm="1">
        <f t="array" ref="C59:L59">TRANSPOSE(K26:K35)</f>
        <v>0</v>
      </c>
      <c r="D59" s="378">
        <v>0</v>
      </c>
      <c r="E59" s="378">
        <v>0</v>
      </c>
      <c r="F59" s="378">
        <v>0</v>
      </c>
      <c r="G59" s="378">
        <v>0</v>
      </c>
      <c r="H59" s="378">
        <v>0</v>
      </c>
      <c r="I59" s="378">
        <v>0</v>
      </c>
      <c r="J59" s="378">
        <v>0</v>
      </c>
      <c r="K59" s="378">
        <v>0</v>
      </c>
      <c r="L59" s="478">
        <v>0</v>
      </c>
      <c r="M59" s="473">
        <f t="shared" si="18"/>
        <v>0</v>
      </c>
      <c r="N59" s="378"/>
      <c r="O59" s="378"/>
      <c r="P59" s="378"/>
      <c r="Q59" s="479"/>
    </row>
    <row r="60" spans="2:18" x14ac:dyDescent="0.25">
      <c r="B60" s="14">
        <v>10</v>
      </c>
      <c r="C60" s="483" cm="1">
        <f t="array" ref="C60:L60">TRANSPOSE(L26:L35)</f>
        <v>0</v>
      </c>
      <c r="D60" s="479">
        <v>0</v>
      </c>
      <c r="E60" s="479">
        <v>0</v>
      </c>
      <c r="F60" s="479">
        <v>0</v>
      </c>
      <c r="G60" s="479">
        <v>0</v>
      </c>
      <c r="H60" s="479">
        <v>0</v>
      </c>
      <c r="I60" s="479">
        <v>0</v>
      </c>
      <c r="J60" s="479">
        <v>0</v>
      </c>
      <c r="K60" s="479">
        <v>0</v>
      </c>
      <c r="L60" s="484">
        <v>0</v>
      </c>
      <c r="M60" s="473">
        <f t="shared" si="18"/>
        <v>0</v>
      </c>
      <c r="N60" s="479"/>
      <c r="O60" s="479"/>
      <c r="P60" s="479"/>
      <c r="Q60" s="479"/>
    </row>
    <row r="61" spans="2:18" x14ac:dyDescent="0.25">
      <c r="B61" s="14">
        <v>11</v>
      </c>
      <c r="C61" s="483" cm="1">
        <f t="array" ref="C61:L61">TRANSPOSE(M26:M35)</f>
        <v>0</v>
      </c>
      <c r="D61" s="378">
        <v>0</v>
      </c>
      <c r="E61" s="378">
        <v>0</v>
      </c>
      <c r="F61" s="378">
        <v>0</v>
      </c>
      <c r="G61" s="378">
        <v>0</v>
      </c>
      <c r="H61" s="378">
        <v>0</v>
      </c>
      <c r="I61" s="378">
        <v>0</v>
      </c>
      <c r="J61" s="378">
        <v>0</v>
      </c>
      <c r="K61" s="378">
        <v>0</v>
      </c>
      <c r="L61" s="478">
        <v>0</v>
      </c>
      <c r="M61" s="496">
        <f t="shared" si="18"/>
        <v>0</v>
      </c>
      <c r="N61" s="378"/>
      <c r="O61" s="378"/>
      <c r="P61" s="378"/>
      <c r="Q61" s="378"/>
    </row>
    <row r="62" spans="2:18" x14ac:dyDescent="0.25">
      <c r="B62" s="14">
        <v>12</v>
      </c>
      <c r="C62" s="483" cm="1">
        <f t="array" ref="C62:L62">TRANSPOSE(N26:N35)</f>
        <v>0</v>
      </c>
      <c r="D62" s="479">
        <v>0</v>
      </c>
      <c r="E62" s="479">
        <v>0</v>
      </c>
      <c r="F62" s="479">
        <v>0</v>
      </c>
      <c r="G62" s="479">
        <v>0</v>
      </c>
      <c r="H62" s="479">
        <v>0</v>
      </c>
      <c r="I62" s="479">
        <v>0</v>
      </c>
      <c r="J62" s="479">
        <v>0</v>
      </c>
      <c r="K62" s="479">
        <v>0</v>
      </c>
      <c r="L62" s="484">
        <v>0</v>
      </c>
      <c r="M62" s="496">
        <f t="shared" si="18"/>
        <v>0</v>
      </c>
      <c r="N62" s="479"/>
      <c r="O62" s="479"/>
      <c r="P62" s="479"/>
      <c r="Q62" s="479"/>
    </row>
    <row r="63" spans="2:18" x14ac:dyDescent="0.25">
      <c r="B63" s="14">
        <v>13</v>
      </c>
      <c r="C63" s="483" cm="1">
        <f t="array" ref="C63:L63">TRANSPOSE(O26:O35)</f>
        <v>0</v>
      </c>
      <c r="D63" s="479">
        <v>0</v>
      </c>
      <c r="E63" s="479">
        <v>0</v>
      </c>
      <c r="F63" s="479">
        <v>0</v>
      </c>
      <c r="G63" s="479">
        <v>0</v>
      </c>
      <c r="H63" s="479">
        <v>0</v>
      </c>
      <c r="I63" s="479">
        <v>0</v>
      </c>
      <c r="J63" s="479">
        <v>0</v>
      </c>
      <c r="K63" s="479">
        <v>0</v>
      </c>
      <c r="L63" s="484">
        <v>0</v>
      </c>
      <c r="M63" s="496">
        <f t="shared" si="18"/>
        <v>0</v>
      </c>
      <c r="N63" s="479"/>
      <c r="O63" s="479"/>
      <c r="P63" s="479"/>
      <c r="Q63" s="479"/>
    </row>
    <row r="64" spans="2:18" x14ac:dyDescent="0.25">
      <c r="B64" s="14">
        <v>14</v>
      </c>
      <c r="C64" s="483" cm="1">
        <f t="array" ref="C64:L64">TRANSPOSE(P26:P35)</f>
        <v>0</v>
      </c>
      <c r="D64" s="479">
        <v>0</v>
      </c>
      <c r="E64" s="479">
        <v>0</v>
      </c>
      <c r="F64" s="479">
        <v>0</v>
      </c>
      <c r="G64" s="479">
        <v>0</v>
      </c>
      <c r="H64" s="479">
        <v>0</v>
      </c>
      <c r="I64" s="479">
        <v>0</v>
      </c>
      <c r="J64" s="479">
        <v>0</v>
      </c>
      <c r="K64" s="479">
        <v>0</v>
      </c>
      <c r="L64" s="484">
        <v>0</v>
      </c>
      <c r="M64" s="496">
        <f t="shared" si="18"/>
        <v>0</v>
      </c>
      <c r="N64" s="479"/>
      <c r="O64" s="479"/>
      <c r="P64" s="479"/>
      <c r="Q64" s="479"/>
    </row>
    <row r="65" spans="2:18" x14ac:dyDescent="0.25">
      <c r="B65" s="14">
        <v>15</v>
      </c>
      <c r="C65" s="485" cm="1">
        <f t="array" ref="C65:L65">TRANSPOSE(Q26:Q35)</f>
        <v>0</v>
      </c>
      <c r="D65" s="486">
        <v>0</v>
      </c>
      <c r="E65" s="486">
        <v>0</v>
      </c>
      <c r="F65" s="486">
        <v>0</v>
      </c>
      <c r="G65" s="486">
        <v>0</v>
      </c>
      <c r="H65" s="486">
        <v>0</v>
      </c>
      <c r="I65" s="486">
        <v>0</v>
      </c>
      <c r="J65" s="486">
        <v>0</v>
      </c>
      <c r="K65" s="486">
        <v>0</v>
      </c>
      <c r="L65" s="487">
        <v>0</v>
      </c>
      <c r="M65" s="496">
        <f t="shared" si="18"/>
        <v>0</v>
      </c>
      <c r="N65" s="479"/>
      <c r="O65" s="479"/>
      <c r="P65" s="479"/>
      <c r="Q65" s="479"/>
    </row>
    <row r="67" spans="2:18" x14ac:dyDescent="0.25">
      <c r="B67" s="14" t="s">
        <v>629</v>
      </c>
      <c r="C67" s="470" cm="1">
        <f t="array" ref="C67:L67">TRANSPOSE(B38:B47)</f>
        <v>1900</v>
      </c>
      <c r="D67" s="14">
        <v>1901</v>
      </c>
      <c r="E67" s="14">
        <v>1902</v>
      </c>
      <c r="F67" s="14">
        <v>1903</v>
      </c>
      <c r="G67" s="14">
        <v>1904</v>
      </c>
      <c r="H67" s="14">
        <v>1905</v>
      </c>
      <c r="I67" s="14">
        <v>1906</v>
      </c>
      <c r="J67" s="14">
        <v>1907</v>
      </c>
      <c r="K67" s="14">
        <v>1908</v>
      </c>
      <c r="L67" s="14">
        <v>1909</v>
      </c>
      <c r="M67" s="14"/>
      <c r="N67" s="14"/>
      <c r="O67" s="14"/>
      <c r="P67" s="14"/>
      <c r="Q67" s="14"/>
      <c r="R67" s="14"/>
    </row>
    <row r="68" spans="2:18" x14ac:dyDescent="0.25">
      <c r="B68" s="14">
        <v>1</v>
      </c>
      <c r="C68" s="371" cm="1">
        <f t="array" ref="C68:L68">TRANSPOSE(C38:C47)</f>
        <v>0</v>
      </c>
      <c r="D68" s="372">
        <v>0</v>
      </c>
      <c r="E68" s="372">
        <v>0</v>
      </c>
      <c r="F68" s="372">
        <v>0</v>
      </c>
      <c r="G68" s="372">
        <v>0</v>
      </c>
      <c r="H68" s="372">
        <v>0</v>
      </c>
      <c r="I68" s="372">
        <v>0</v>
      </c>
      <c r="J68" s="372">
        <v>0</v>
      </c>
      <c r="K68" s="372">
        <v>0</v>
      </c>
      <c r="L68" s="373">
        <v>0</v>
      </c>
      <c r="M68" s="374">
        <f t="shared" ref="M68:M82" si="19">SUM(_xlfn.ANCHORARRAY(C68))</f>
        <v>0</v>
      </c>
      <c r="N68" s="376"/>
      <c r="O68" s="376"/>
      <c r="P68" s="376"/>
      <c r="Q68" s="376"/>
    </row>
    <row r="69" spans="2:18" x14ac:dyDescent="0.25">
      <c r="B69" s="14">
        <v>2</v>
      </c>
      <c r="C69" s="375" cm="1">
        <f t="array" ref="C69:L69">TRANSPOSE(D38:D47)</f>
        <v>0</v>
      </c>
      <c r="D69" s="376">
        <v>0</v>
      </c>
      <c r="E69" s="376">
        <v>0</v>
      </c>
      <c r="F69" s="376">
        <v>0</v>
      </c>
      <c r="G69" s="376">
        <v>0</v>
      </c>
      <c r="H69" s="376">
        <v>0</v>
      </c>
      <c r="I69" s="376">
        <v>0</v>
      </c>
      <c r="J69" s="376">
        <v>0</v>
      </c>
      <c r="K69" s="376">
        <v>0</v>
      </c>
      <c r="L69" s="377">
        <v>0</v>
      </c>
      <c r="M69" s="374">
        <f t="shared" si="19"/>
        <v>0</v>
      </c>
      <c r="N69" s="376"/>
      <c r="O69" s="376"/>
      <c r="P69" s="376"/>
      <c r="Q69" s="376"/>
    </row>
    <row r="70" spans="2:18" x14ac:dyDescent="0.25">
      <c r="B70" s="14">
        <v>3</v>
      </c>
      <c r="C70" s="375" cm="1">
        <f t="array" ref="C70:L70">TRANSPOSE(E38:E47)</f>
        <v>0</v>
      </c>
      <c r="D70" s="376">
        <v>0</v>
      </c>
      <c r="E70" s="376">
        <v>0</v>
      </c>
      <c r="F70" s="376">
        <v>0</v>
      </c>
      <c r="G70" s="376">
        <v>0</v>
      </c>
      <c r="H70" s="376">
        <v>0</v>
      </c>
      <c r="I70" s="376">
        <v>0</v>
      </c>
      <c r="J70" s="376">
        <v>0</v>
      </c>
      <c r="K70" s="376">
        <v>0</v>
      </c>
      <c r="L70" s="377">
        <v>0</v>
      </c>
      <c r="M70" s="374">
        <f t="shared" si="19"/>
        <v>0</v>
      </c>
      <c r="N70" s="376"/>
      <c r="O70" s="376"/>
      <c r="P70" s="376"/>
      <c r="Q70" s="376"/>
    </row>
    <row r="71" spans="2:18" x14ac:dyDescent="0.25">
      <c r="B71" s="14">
        <v>4</v>
      </c>
      <c r="C71" s="375" cm="1">
        <f t="array" ref="C71:L71">TRANSPOSE(F38:F47)</f>
        <v>0</v>
      </c>
      <c r="D71" s="376">
        <v>0</v>
      </c>
      <c r="E71" s="376">
        <v>0</v>
      </c>
      <c r="F71" s="376">
        <v>0</v>
      </c>
      <c r="G71" s="376">
        <v>0</v>
      </c>
      <c r="H71" s="376">
        <v>0</v>
      </c>
      <c r="I71" s="376">
        <v>0</v>
      </c>
      <c r="J71" s="376">
        <v>0</v>
      </c>
      <c r="K71" s="376">
        <v>0</v>
      </c>
      <c r="L71" s="377">
        <v>0</v>
      </c>
      <c r="M71" s="374">
        <f t="shared" si="19"/>
        <v>0</v>
      </c>
      <c r="N71" s="376"/>
      <c r="O71" s="376"/>
      <c r="P71" s="376"/>
      <c r="Q71" s="376"/>
    </row>
    <row r="72" spans="2:18" x14ac:dyDescent="0.25">
      <c r="B72" s="14">
        <v>5</v>
      </c>
      <c r="C72" s="375" cm="1">
        <f t="array" ref="C72:L72">TRANSPOSE(G38:G47)</f>
        <v>0</v>
      </c>
      <c r="D72" s="376">
        <v>0</v>
      </c>
      <c r="E72" s="376">
        <v>0</v>
      </c>
      <c r="F72" s="376">
        <v>0</v>
      </c>
      <c r="G72" s="376">
        <v>0</v>
      </c>
      <c r="H72" s="376">
        <v>0</v>
      </c>
      <c r="I72" s="376">
        <v>0</v>
      </c>
      <c r="J72" s="376">
        <v>0</v>
      </c>
      <c r="K72" s="376">
        <v>0</v>
      </c>
      <c r="L72" s="377">
        <v>0</v>
      </c>
      <c r="M72" s="374">
        <f t="shared" si="19"/>
        <v>0</v>
      </c>
      <c r="N72" s="376"/>
      <c r="O72" s="376"/>
      <c r="P72" s="376"/>
      <c r="Q72" s="376"/>
    </row>
    <row r="73" spans="2:18" x14ac:dyDescent="0.25">
      <c r="B73" s="14">
        <v>6</v>
      </c>
      <c r="C73" s="375" cm="1">
        <f t="array" ref="C73:L73">TRANSPOSE(H38:H47)</f>
        <v>0</v>
      </c>
      <c r="D73" s="376">
        <v>0</v>
      </c>
      <c r="E73" s="376">
        <v>0</v>
      </c>
      <c r="F73" s="376">
        <v>0</v>
      </c>
      <c r="G73" s="376">
        <v>0</v>
      </c>
      <c r="H73" s="376">
        <v>0</v>
      </c>
      <c r="I73" s="376">
        <v>0</v>
      </c>
      <c r="J73" s="376">
        <v>0</v>
      </c>
      <c r="K73" s="376">
        <v>0</v>
      </c>
      <c r="L73" s="377">
        <v>0</v>
      </c>
      <c r="M73" s="374">
        <f t="shared" si="19"/>
        <v>0</v>
      </c>
      <c r="N73" s="376"/>
      <c r="O73" s="376"/>
      <c r="P73" s="376"/>
      <c r="Q73" s="376"/>
    </row>
    <row r="74" spans="2:18" x14ac:dyDescent="0.25">
      <c r="B74" s="14">
        <v>7</v>
      </c>
      <c r="C74" s="375" cm="1">
        <f t="array" ref="C74:L74">TRANSPOSE(I38:I47)</f>
        <v>0</v>
      </c>
      <c r="D74" s="376">
        <v>0</v>
      </c>
      <c r="E74" s="376">
        <v>0</v>
      </c>
      <c r="F74" s="376">
        <v>0</v>
      </c>
      <c r="G74" s="376">
        <v>0</v>
      </c>
      <c r="H74" s="376">
        <v>0</v>
      </c>
      <c r="I74" s="376">
        <v>0</v>
      </c>
      <c r="J74" s="376">
        <v>0</v>
      </c>
      <c r="K74" s="376">
        <v>0</v>
      </c>
      <c r="L74" s="377">
        <v>0</v>
      </c>
      <c r="M74" s="374">
        <f t="shared" si="19"/>
        <v>0</v>
      </c>
      <c r="N74" s="376"/>
      <c r="O74" s="376"/>
      <c r="P74" s="376"/>
      <c r="Q74" s="376"/>
    </row>
    <row r="75" spans="2:18" x14ac:dyDescent="0.25">
      <c r="B75" s="14">
        <v>8</v>
      </c>
      <c r="C75" s="375" cm="1">
        <f t="array" ref="C75:L75">TRANSPOSE(J38:J47)</f>
        <v>0</v>
      </c>
      <c r="D75" s="376">
        <v>0</v>
      </c>
      <c r="E75" s="376">
        <v>0</v>
      </c>
      <c r="F75" s="376">
        <v>0</v>
      </c>
      <c r="G75" s="376">
        <v>0</v>
      </c>
      <c r="H75" s="376">
        <v>0</v>
      </c>
      <c r="I75" s="376">
        <v>0</v>
      </c>
      <c r="J75" s="376">
        <v>0</v>
      </c>
      <c r="K75" s="376">
        <v>0</v>
      </c>
      <c r="L75" s="377">
        <v>0</v>
      </c>
      <c r="M75" s="374">
        <f t="shared" si="19"/>
        <v>0</v>
      </c>
      <c r="N75" s="376"/>
      <c r="O75" s="376"/>
      <c r="P75" s="376"/>
      <c r="Q75" s="376"/>
    </row>
    <row r="76" spans="2:18" x14ac:dyDescent="0.25">
      <c r="B76" s="14">
        <v>9</v>
      </c>
      <c r="C76" s="375" cm="1">
        <f t="array" ref="C76:L76">TRANSPOSE(K38:K47)</f>
        <v>0</v>
      </c>
      <c r="D76" s="376">
        <v>0</v>
      </c>
      <c r="E76" s="376">
        <v>0</v>
      </c>
      <c r="F76" s="376">
        <v>0</v>
      </c>
      <c r="G76" s="376">
        <v>0</v>
      </c>
      <c r="H76" s="376">
        <v>0</v>
      </c>
      <c r="I76" s="376">
        <v>0</v>
      </c>
      <c r="J76" s="376">
        <v>0</v>
      </c>
      <c r="K76" s="376">
        <v>0</v>
      </c>
      <c r="L76" s="377">
        <v>0</v>
      </c>
      <c r="M76" s="374">
        <f t="shared" si="19"/>
        <v>0</v>
      </c>
      <c r="N76" s="376"/>
      <c r="O76" s="376"/>
      <c r="P76" s="376"/>
      <c r="Q76" s="376"/>
    </row>
    <row r="77" spans="2:18" x14ac:dyDescent="0.25">
      <c r="B77" s="14">
        <v>10</v>
      </c>
      <c r="C77" s="375" cm="1">
        <f t="array" ref="C77:L77">TRANSPOSE(L38:L47)</f>
        <v>0</v>
      </c>
      <c r="D77" s="376">
        <v>0</v>
      </c>
      <c r="E77" s="376">
        <v>0</v>
      </c>
      <c r="F77" s="376">
        <v>0</v>
      </c>
      <c r="G77" s="376">
        <v>0</v>
      </c>
      <c r="H77" s="376">
        <v>0</v>
      </c>
      <c r="I77" s="376">
        <v>0</v>
      </c>
      <c r="J77" s="376">
        <v>0</v>
      </c>
      <c r="K77" s="376">
        <v>0</v>
      </c>
      <c r="L77" s="377">
        <v>0</v>
      </c>
      <c r="M77" s="374">
        <f t="shared" si="19"/>
        <v>0</v>
      </c>
      <c r="N77" s="376"/>
      <c r="O77" s="376"/>
      <c r="P77" s="376"/>
      <c r="Q77" s="376"/>
    </row>
    <row r="78" spans="2:18" x14ac:dyDescent="0.25">
      <c r="B78" s="14">
        <v>11</v>
      </c>
      <c r="C78" s="490" cm="1">
        <f t="array" ref="C78:L78">TRANSPOSE(M38:M47)</f>
        <v>0</v>
      </c>
      <c r="D78" s="489">
        <v>0</v>
      </c>
      <c r="E78" s="489">
        <v>0</v>
      </c>
      <c r="F78" s="489">
        <v>0</v>
      </c>
      <c r="G78" s="489">
        <v>0</v>
      </c>
      <c r="H78" s="489">
        <v>0</v>
      </c>
      <c r="I78" s="489">
        <v>0</v>
      </c>
      <c r="J78" s="489">
        <v>0</v>
      </c>
      <c r="K78" s="489">
        <v>0</v>
      </c>
      <c r="L78" s="491">
        <v>0</v>
      </c>
      <c r="M78" s="495">
        <f t="shared" si="19"/>
        <v>0</v>
      </c>
      <c r="N78" s="489"/>
      <c r="O78" s="489"/>
      <c r="P78" s="489"/>
      <c r="Q78" s="489"/>
    </row>
    <row r="79" spans="2:18" x14ac:dyDescent="0.25">
      <c r="B79" s="14">
        <v>12</v>
      </c>
      <c r="C79" s="490" cm="1">
        <f t="array" ref="C79:L79">TRANSPOSE(N38:N47)</f>
        <v>0</v>
      </c>
      <c r="D79" s="489">
        <v>0</v>
      </c>
      <c r="E79" s="489">
        <v>0</v>
      </c>
      <c r="F79" s="489">
        <v>0</v>
      </c>
      <c r="G79" s="489">
        <v>0</v>
      </c>
      <c r="H79" s="489">
        <v>0</v>
      </c>
      <c r="I79" s="489">
        <v>0</v>
      </c>
      <c r="J79" s="489">
        <v>0</v>
      </c>
      <c r="K79" s="489">
        <v>0</v>
      </c>
      <c r="L79" s="491">
        <v>0</v>
      </c>
      <c r="M79" s="495">
        <f t="shared" si="19"/>
        <v>0</v>
      </c>
      <c r="N79" s="489"/>
      <c r="O79" s="489"/>
      <c r="P79" s="489"/>
      <c r="Q79" s="489"/>
    </row>
    <row r="80" spans="2:18" x14ac:dyDescent="0.25">
      <c r="B80" s="14">
        <v>13</v>
      </c>
      <c r="C80" s="490" cm="1">
        <f t="array" ref="C80:L80">TRANSPOSE(O38:O47)</f>
        <v>0</v>
      </c>
      <c r="D80" s="489">
        <v>0</v>
      </c>
      <c r="E80" s="489">
        <v>0</v>
      </c>
      <c r="F80" s="489">
        <v>0</v>
      </c>
      <c r="G80" s="489">
        <v>0</v>
      </c>
      <c r="H80" s="489">
        <v>0</v>
      </c>
      <c r="I80" s="489">
        <v>0</v>
      </c>
      <c r="J80" s="489">
        <v>0</v>
      </c>
      <c r="K80" s="489">
        <v>0</v>
      </c>
      <c r="L80" s="491">
        <v>0</v>
      </c>
      <c r="M80" s="495">
        <f t="shared" si="19"/>
        <v>0</v>
      </c>
      <c r="N80" s="489"/>
      <c r="O80" s="489"/>
      <c r="P80" s="489"/>
      <c r="Q80" s="489"/>
    </row>
    <row r="81" spans="2:17" x14ac:dyDescent="0.25">
      <c r="B81" s="14">
        <v>14</v>
      </c>
      <c r="C81" s="490" cm="1">
        <f t="array" ref="C81:L81">TRANSPOSE(P38:P47)</f>
        <v>0</v>
      </c>
      <c r="D81" s="489">
        <v>0</v>
      </c>
      <c r="E81" s="489">
        <v>0</v>
      </c>
      <c r="F81" s="489">
        <v>0</v>
      </c>
      <c r="G81" s="489">
        <v>0</v>
      </c>
      <c r="H81" s="489">
        <v>0</v>
      </c>
      <c r="I81" s="489">
        <v>0</v>
      </c>
      <c r="J81" s="489">
        <v>0</v>
      </c>
      <c r="K81" s="489">
        <v>0</v>
      </c>
      <c r="L81" s="491">
        <v>0</v>
      </c>
      <c r="M81" s="495">
        <f t="shared" si="19"/>
        <v>0</v>
      </c>
      <c r="N81" s="489"/>
      <c r="O81" s="489"/>
      <c r="P81" s="489"/>
      <c r="Q81" s="489"/>
    </row>
    <row r="82" spans="2:17" x14ac:dyDescent="0.25">
      <c r="B82" s="14">
        <v>15</v>
      </c>
      <c r="C82" s="492" cm="1">
        <f t="array" ref="C82:L82">TRANSPOSE(Q38:Q47)</f>
        <v>0</v>
      </c>
      <c r="D82" s="493">
        <v>0</v>
      </c>
      <c r="E82" s="493">
        <v>0</v>
      </c>
      <c r="F82" s="493">
        <v>0</v>
      </c>
      <c r="G82" s="493">
        <v>0</v>
      </c>
      <c r="H82" s="493">
        <v>0</v>
      </c>
      <c r="I82" s="493">
        <v>0</v>
      </c>
      <c r="J82" s="493">
        <v>0</v>
      </c>
      <c r="K82" s="493">
        <v>0</v>
      </c>
      <c r="L82" s="494">
        <v>0</v>
      </c>
      <c r="M82" s="495">
        <f t="shared" si="19"/>
        <v>0</v>
      </c>
      <c r="N82" s="489"/>
      <c r="O82" s="489"/>
      <c r="P82" s="489"/>
      <c r="Q82" s="489"/>
    </row>
    <row r="83" spans="2:17" x14ac:dyDescent="0.25">
      <c r="C83" s="374">
        <f>SUM(C68:C82)</f>
        <v>0</v>
      </c>
      <c r="D83" s="374">
        <f t="shared" ref="D83:J83" si="20">SUM(D68:D82)</f>
        <v>0</v>
      </c>
      <c r="E83" s="374">
        <f t="shared" si="20"/>
        <v>0</v>
      </c>
      <c r="F83" s="374">
        <f t="shared" si="20"/>
        <v>0</v>
      </c>
      <c r="G83" s="374">
        <f t="shared" si="20"/>
        <v>0</v>
      </c>
      <c r="H83" s="374">
        <f t="shared" si="20"/>
        <v>0</v>
      </c>
      <c r="I83" s="374">
        <f t="shared" si="20"/>
        <v>0</v>
      </c>
      <c r="J83" s="374">
        <f t="shared" si="20"/>
        <v>0</v>
      </c>
      <c r="K83" s="374"/>
      <c r="L83" s="495"/>
      <c r="M83" s="374">
        <f>SUM(C83:L83)</f>
        <v>0</v>
      </c>
      <c r="N83" s="495"/>
      <c r="O83" s="495"/>
      <c r="P83" s="495"/>
      <c r="Q83" s="495"/>
    </row>
  </sheetData>
  <sheetProtection algorithmName="SHA-512" hashValue="t6ZwjBEgrWgxz7yOpLP4efNQ10/zVh4RCg1LBmVbmIy5eAdKxU6cqGaB9uJHzcde3b6yPa+9lt03am2I4idGNQ==" saltValue="hm7L9tYrkTSfpnkJQ8C6kw==" spinCount="100000" sheet="1" objects="1" scenarios="1"/>
  <pageMargins left="0.7" right="0.7" top="0.75" bottom="0.75" header="0.3" footer="0.3"/>
  <pageSetup paperSize="0" orientation="portrait" horizontalDpi="0" verticalDpi="0" copie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2">
    <tabColor rgb="FF7030A0"/>
  </sheetPr>
  <dimension ref="A1:H42"/>
  <sheetViews>
    <sheetView zoomScaleNormal="100" workbookViewId="0">
      <selection activeCell="E51" sqref="E51"/>
    </sheetView>
  </sheetViews>
  <sheetFormatPr defaultColWidth="8.81640625" defaultRowHeight="12.5" x14ac:dyDescent="0.25"/>
  <cols>
    <col min="1" max="1" width="33.453125" customWidth="1"/>
    <col min="2" max="2" width="18" bestFit="1" customWidth="1"/>
    <col min="3" max="3" width="18.7265625" bestFit="1" customWidth="1"/>
    <col min="4" max="4" width="35.81640625" bestFit="1" customWidth="1"/>
    <col min="5" max="5" width="39.7265625" customWidth="1"/>
    <col min="6" max="11" width="9.26953125" customWidth="1"/>
  </cols>
  <sheetData>
    <row r="1" spans="1:8" ht="13.5" x14ac:dyDescent="0.3">
      <c r="A1" s="6" t="s">
        <v>630</v>
      </c>
      <c r="B1" s="7"/>
      <c r="C1" s="8"/>
      <c r="D1" s="8"/>
      <c r="E1" s="8"/>
    </row>
    <row r="2" spans="1:8" ht="13.5" x14ac:dyDescent="0.3">
      <c r="A2" s="156" t="s">
        <v>631</v>
      </c>
      <c r="B2" s="157" t="s">
        <v>632</v>
      </c>
      <c r="C2" s="156" t="s">
        <v>633</v>
      </c>
      <c r="D2" s="156" t="s">
        <v>634</v>
      </c>
      <c r="E2" s="156" t="s">
        <v>635</v>
      </c>
      <c r="F2" s="1"/>
      <c r="G2" s="1"/>
      <c r="H2" s="1"/>
    </row>
    <row r="3" spans="1:8" ht="13.5" x14ac:dyDescent="0.3">
      <c r="A3" s="4" t="s">
        <v>238</v>
      </c>
      <c r="B3" s="4">
        <v>1</v>
      </c>
      <c r="C3" s="4" t="s">
        <v>238</v>
      </c>
      <c r="D3" s="4" t="s">
        <v>238</v>
      </c>
      <c r="E3" s="4" t="s">
        <v>238</v>
      </c>
      <c r="F3" s="355"/>
      <c r="G3" s="355"/>
      <c r="H3" s="355"/>
    </row>
    <row r="4" spans="1:8" ht="13.5" x14ac:dyDescent="0.3">
      <c r="A4" s="4" t="s">
        <v>636</v>
      </c>
      <c r="B4" s="4">
        <v>2</v>
      </c>
      <c r="C4" s="4" t="s">
        <v>637</v>
      </c>
      <c r="D4" s="4" t="s">
        <v>638</v>
      </c>
      <c r="E4" s="4" t="s">
        <v>639</v>
      </c>
      <c r="F4" s="355"/>
      <c r="G4" s="355"/>
      <c r="H4" s="355"/>
    </row>
    <row r="5" spans="1:8" ht="13.5" x14ac:dyDescent="0.3">
      <c r="A5" s="4" t="s">
        <v>640</v>
      </c>
      <c r="B5" s="4">
        <v>3</v>
      </c>
      <c r="C5" s="4" t="s">
        <v>641</v>
      </c>
      <c r="D5" s="4" t="s">
        <v>642</v>
      </c>
      <c r="E5" s="4" t="s">
        <v>643</v>
      </c>
      <c r="F5" s="355"/>
      <c r="G5" s="355"/>
      <c r="H5" s="355"/>
    </row>
    <row r="6" spans="1:8" ht="13.5" x14ac:dyDescent="0.3">
      <c r="A6" s="4" t="s">
        <v>644</v>
      </c>
      <c r="B6" s="4">
        <v>4</v>
      </c>
      <c r="D6" s="4" t="s">
        <v>645</v>
      </c>
      <c r="E6" s="4" t="s">
        <v>646</v>
      </c>
      <c r="F6" s="355"/>
      <c r="G6" s="355"/>
      <c r="H6" s="355"/>
    </row>
    <row r="7" spans="1:8" ht="13.5" x14ac:dyDescent="0.3">
      <c r="A7" s="4" t="s">
        <v>647</v>
      </c>
      <c r="B7" s="4">
        <v>5</v>
      </c>
      <c r="C7" s="3"/>
      <c r="D7" s="4" t="s">
        <v>648</v>
      </c>
      <c r="E7" s="4" t="s">
        <v>649</v>
      </c>
      <c r="F7" s="355"/>
      <c r="G7" s="355"/>
      <c r="H7" s="355"/>
    </row>
    <row r="8" spans="1:8" ht="13.5" x14ac:dyDescent="0.3">
      <c r="A8" s="5"/>
      <c r="B8" s="4">
        <v>6</v>
      </c>
      <c r="C8" s="4"/>
      <c r="D8" s="4" t="s">
        <v>524</v>
      </c>
      <c r="E8" s="4" t="s">
        <v>650</v>
      </c>
      <c r="F8" s="355"/>
      <c r="G8" s="355"/>
      <c r="H8" s="355"/>
    </row>
    <row r="9" spans="1:8" ht="12.75" customHeight="1" x14ac:dyDescent="0.3">
      <c r="A9" s="5"/>
      <c r="B9" s="4">
        <v>7</v>
      </c>
      <c r="C9" s="4"/>
      <c r="D9" s="4"/>
      <c r="E9" s="4" t="s">
        <v>651</v>
      </c>
      <c r="F9" s="355"/>
      <c r="G9" s="355"/>
      <c r="H9" s="355"/>
    </row>
    <row r="10" spans="1:8" ht="13.5" x14ac:dyDescent="0.3">
      <c r="A10" s="5"/>
      <c r="B10" s="4">
        <v>8</v>
      </c>
      <c r="C10" s="4"/>
      <c r="D10" s="4"/>
      <c r="E10" s="4" t="s">
        <v>652</v>
      </c>
      <c r="F10" s="355"/>
      <c r="G10" s="355"/>
      <c r="H10" s="355"/>
    </row>
    <row r="11" spans="1:8" ht="12.75" customHeight="1" x14ac:dyDescent="0.3">
      <c r="B11" s="2">
        <v>9</v>
      </c>
      <c r="C11" s="4"/>
      <c r="D11" s="4"/>
      <c r="F11" s="355"/>
      <c r="G11" s="355"/>
      <c r="H11" s="355"/>
    </row>
    <row r="12" spans="1:8" ht="13.5" x14ac:dyDescent="0.3">
      <c r="B12" s="2">
        <v>10</v>
      </c>
    </row>
    <row r="13" spans="1:8" ht="13.5" x14ac:dyDescent="0.3">
      <c r="B13" s="2">
        <v>11</v>
      </c>
    </row>
    <row r="14" spans="1:8" ht="13.5" x14ac:dyDescent="0.3">
      <c r="B14" s="2">
        <v>12</v>
      </c>
    </row>
    <row r="15" spans="1:8" ht="13.5" x14ac:dyDescent="0.3">
      <c r="B15" s="2">
        <v>13</v>
      </c>
      <c r="C15" s="1"/>
    </row>
    <row r="16" spans="1:8" ht="13.5" x14ac:dyDescent="0.3">
      <c r="B16" s="2">
        <v>14</v>
      </c>
      <c r="C16" s="355"/>
    </row>
    <row r="17" spans="1:3" ht="13.5" x14ac:dyDescent="0.3">
      <c r="B17" s="2">
        <v>15</v>
      </c>
      <c r="C17" s="4"/>
    </row>
    <row r="18" spans="1:3" ht="13.5" x14ac:dyDescent="0.3">
      <c r="B18" s="4"/>
      <c r="C18" s="4"/>
    </row>
    <row r="19" spans="1:3" ht="13.5" x14ac:dyDescent="0.3">
      <c r="A19" s="4"/>
      <c r="B19" s="4"/>
      <c r="C19" s="4"/>
    </row>
    <row r="20" spans="1:3" ht="13.5" x14ac:dyDescent="0.3">
      <c r="C20" s="4"/>
    </row>
    <row r="21" spans="1:3" ht="13.5" x14ac:dyDescent="0.3">
      <c r="C21" s="4"/>
    </row>
    <row r="22" spans="1:3" ht="13.5" x14ac:dyDescent="0.3">
      <c r="C22" s="4"/>
    </row>
    <row r="23" spans="1:3" ht="13.5" x14ac:dyDescent="0.3">
      <c r="C23" s="4"/>
    </row>
    <row r="24" spans="1:3" ht="13.5" x14ac:dyDescent="0.3">
      <c r="A24" s="355" t="s">
        <v>653</v>
      </c>
      <c r="C24" s="4"/>
    </row>
    <row r="25" spans="1:3" ht="13.5" x14ac:dyDescent="0.3">
      <c r="A25" s="1"/>
      <c r="C25" s="4"/>
    </row>
    <row r="26" spans="1:3" x14ac:dyDescent="0.25">
      <c r="A26" s="355"/>
    </row>
    <row r="27" spans="1:3" x14ac:dyDescent="0.25">
      <c r="A27" s="355"/>
    </row>
    <row r="28" spans="1:3" x14ac:dyDescent="0.25">
      <c r="A28" s="355"/>
    </row>
    <row r="29" spans="1:3" x14ac:dyDescent="0.25">
      <c r="A29" s="355"/>
    </row>
    <row r="31" spans="1:3" ht="13" x14ac:dyDescent="0.3">
      <c r="A31" s="1"/>
    </row>
    <row r="32" spans="1:3" x14ac:dyDescent="0.25">
      <c r="A32" s="355"/>
    </row>
    <row r="33" spans="1:1" x14ac:dyDescent="0.25">
      <c r="A33" s="355"/>
    </row>
    <row r="41" spans="1:1" x14ac:dyDescent="0.25">
      <c r="A41" s="355" t="s">
        <v>654</v>
      </c>
    </row>
    <row r="42" spans="1:1" x14ac:dyDescent="0.25">
      <c r="A42" s="355" t="s">
        <v>342</v>
      </c>
    </row>
  </sheetData>
  <sheetProtection algorithmName="SHA-512" hashValue="sOyvGR8O0wR0AEMRuvnY5EYj/P8XPvi+ib6oSLmyFQkWjnHTZIGhv7hJru8h88stvaOzom9xYWhkY/jK44Merw==" saltValue="GqGj/LZMd7Nl91A+ELBI1A=="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2B3F-3D8E-4FE3-8433-7B70ADB0014B}">
  <sheetPr codeName="Blad2">
    <tabColor theme="7"/>
  </sheetPr>
  <dimension ref="A1:G10"/>
  <sheetViews>
    <sheetView workbookViewId="0">
      <selection activeCell="D9" sqref="D9"/>
    </sheetView>
  </sheetViews>
  <sheetFormatPr defaultColWidth="9.26953125" defaultRowHeight="14.5" x14ac:dyDescent="0.25"/>
  <cols>
    <col min="1" max="2" width="9.26953125" style="164"/>
    <col min="3" max="3" width="13.26953125" style="164" customWidth="1"/>
    <col min="4" max="4" width="23" style="164" customWidth="1"/>
    <col min="5" max="6" width="13.453125" style="164" customWidth="1"/>
    <col min="7" max="7" width="19.26953125" style="164" customWidth="1"/>
    <col min="8" max="16384" width="9.26953125" style="164"/>
  </cols>
  <sheetData>
    <row r="1" spans="1:7" x14ac:dyDescent="0.25">
      <c r="E1" s="507" t="s">
        <v>655</v>
      </c>
      <c r="F1" s="507" t="s">
        <v>655</v>
      </c>
    </row>
    <row r="2" spans="1:7" x14ac:dyDescent="0.25">
      <c r="A2" s="165" t="s">
        <v>656</v>
      </c>
      <c r="C2" s="164" t="s">
        <v>211</v>
      </c>
      <c r="D2" s="164" t="s">
        <v>657</v>
      </c>
      <c r="E2" s="507" t="str">
        <f>A10</f>
        <v>Overige</v>
      </c>
      <c r="F2" s="507" t="str">
        <f>A9</f>
        <v>Aftapinstallaties / restwarmte</v>
      </c>
      <c r="G2" s="164" t="s">
        <v>658</v>
      </c>
    </row>
    <row r="3" spans="1:7" x14ac:dyDescent="0.25">
      <c r="B3" s="1135" t="s">
        <v>411</v>
      </c>
      <c r="C3" s="1136">
        <f>'Waarden regeling'!C46</f>
        <v>481.67</v>
      </c>
      <c r="D3" s="1136">
        <f>'Waarden regeling'!C31</f>
        <v>120.15</v>
      </c>
      <c r="E3" s="1136">
        <f>Marge_laag</f>
        <v>11</v>
      </c>
      <c r="F3" s="1136">
        <f>Marge_hoog</f>
        <v>14</v>
      </c>
      <c r="G3" s="1136">
        <v>0</v>
      </c>
    </row>
    <row r="4" spans="1:7" x14ac:dyDescent="0.25">
      <c r="B4" s="1135" t="s">
        <v>659</v>
      </c>
      <c r="C4" s="1136">
        <f>'Waarden regeling'!C47</f>
        <v>240.84</v>
      </c>
      <c r="D4" s="1136">
        <f>'Waarden regeling'!C32</f>
        <v>112.32</v>
      </c>
      <c r="E4" s="1136">
        <f>Marge_laag</f>
        <v>11</v>
      </c>
      <c r="F4" s="1136">
        <f>Marge_hoog</f>
        <v>14</v>
      </c>
      <c r="G4" s="1136">
        <v>0</v>
      </c>
    </row>
    <row r="5" spans="1:7" x14ac:dyDescent="0.25">
      <c r="B5" s="1135" t="s">
        <v>660</v>
      </c>
      <c r="C5" s="1136">
        <f>'Waarden regeling'!C48</f>
        <v>256.63</v>
      </c>
      <c r="D5" s="1136">
        <f>'Waarden regeling'!C33</f>
        <v>94.6</v>
      </c>
      <c r="E5" s="1136">
        <v>0</v>
      </c>
      <c r="F5" s="1136">
        <v>0</v>
      </c>
      <c r="G5" s="1136">
        <f>Bron_ZLT_kosten</f>
        <v>9</v>
      </c>
    </row>
    <row r="7" spans="1:7" x14ac:dyDescent="0.25">
      <c r="A7" s="165" t="s">
        <v>661</v>
      </c>
    </row>
    <row r="9" spans="1:7" x14ac:dyDescent="0.25">
      <c r="A9" s="507" t="s">
        <v>662</v>
      </c>
    </row>
    <row r="10" spans="1:7" x14ac:dyDescent="0.25">
      <c r="A10" s="507" t="s">
        <v>509</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022B-1318-4A62-8883-63C3753986C8}">
  <sheetPr>
    <tabColor rgb="FF7030A0"/>
  </sheetPr>
  <dimension ref="A1:F64"/>
  <sheetViews>
    <sheetView topLeftCell="A16" workbookViewId="0">
      <selection activeCell="E46" sqref="E46"/>
    </sheetView>
  </sheetViews>
  <sheetFormatPr defaultColWidth="8.81640625" defaultRowHeight="12.5" x14ac:dyDescent="0.25"/>
  <cols>
    <col min="1" max="1" width="16" customWidth="1"/>
    <col min="2" max="2" width="22" customWidth="1"/>
    <col min="3" max="4" width="15.7265625" customWidth="1"/>
    <col min="5" max="5" width="156.81640625" customWidth="1"/>
  </cols>
  <sheetData>
    <row r="1" spans="1:5" ht="13" x14ac:dyDescent="0.3">
      <c r="A1" s="1" t="s">
        <v>663</v>
      </c>
    </row>
    <row r="3" spans="1:5" ht="13" x14ac:dyDescent="0.3">
      <c r="A3" s="1" t="s">
        <v>664</v>
      </c>
    </row>
    <row r="5" spans="1:5" ht="13" x14ac:dyDescent="0.3">
      <c r="A5" s="1" t="s">
        <v>665</v>
      </c>
      <c r="B5" s="1"/>
      <c r="C5" s="1" t="s">
        <v>666</v>
      </c>
      <c r="D5" s="1" t="s">
        <v>667</v>
      </c>
      <c r="E5" s="1" t="s">
        <v>668</v>
      </c>
    </row>
    <row r="6" spans="1:5" x14ac:dyDescent="0.25">
      <c r="A6" t="s">
        <v>669</v>
      </c>
      <c r="C6" s="380">
        <v>0.45</v>
      </c>
    </row>
    <row r="7" spans="1:5" x14ac:dyDescent="0.25">
      <c r="A7" s="355" t="s">
        <v>670</v>
      </c>
      <c r="C7" s="382">
        <v>6000</v>
      </c>
      <c r="D7" t="s">
        <v>671</v>
      </c>
      <c r="E7" t="s">
        <v>672</v>
      </c>
    </row>
    <row r="8" spans="1:5" x14ac:dyDescent="0.25">
      <c r="A8" s="355" t="s">
        <v>673</v>
      </c>
      <c r="C8" s="382">
        <v>7000</v>
      </c>
      <c r="D8" t="s">
        <v>671</v>
      </c>
      <c r="E8" t="s">
        <v>674</v>
      </c>
    </row>
    <row r="9" spans="1:5" x14ac:dyDescent="0.25">
      <c r="C9" s="382"/>
    </row>
    <row r="10" spans="1:5" ht="13" x14ac:dyDescent="0.3">
      <c r="A10" s="1" t="s">
        <v>675</v>
      </c>
    </row>
    <row r="12" spans="1:5" ht="13" x14ac:dyDescent="0.3">
      <c r="A12" s="1" t="s">
        <v>665</v>
      </c>
      <c r="B12" s="1"/>
      <c r="C12" s="1" t="s">
        <v>666</v>
      </c>
      <c r="D12" s="1" t="s">
        <v>667</v>
      </c>
      <c r="E12" s="1" t="s">
        <v>668</v>
      </c>
    </row>
    <row r="13" spans="1:5" x14ac:dyDescent="0.25">
      <c r="A13" s="355" t="s">
        <v>676</v>
      </c>
      <c r="C13">
        <v>6</v>
      </c>
      <c r="D13" s="355" t="s">
        <v>677</v>
      </c>
      <c r="E13" s="355" t="s">
        <v>678</v>
      </c>
    </row>
    <row r="14" spans="1:5" x14ac:dyDescent="0.25">
      <c r="A14" s="355" t="s">
        <v>679</v>
      </c>
      <c r="C14" s="382">
        <v>65</v>
      </c>
      <c r="D14" s="355" t="s">
        <v>680</v>
      </c>
      <c r="E14" s="355"/>
    </row>
    <row r="15" spans="1:5" x14ac:dyDescent="0.25">
      <c r="D15" s="355"/>
    </row>
    <row r="16" spans="1:5" ht="13" x14ac:dyDescent="0.3">
      <c r="A16" s="1" t="s">
        <v>681</v>
      </c>
    </row>
    <row r="17" spans="1:6" ht="13" x14ac:dyDescent="0.3">
      <c r="A17" s="1"/>
    </row>
    <row r="19" spans="1:6" ht="13" x14ac:dyDescent="0.3">
      <c r="A19" s="1" t="s">
        <v>665</v>
      </c>
      <c r="B19" s="1" t="s">
        <v>682</v>
      </c>
      <c r="C19" s="1" t="s">
        <v>666</v>
      </c>
      <c r="D19" s="1" t="s">
        <v>667</v>
      </c>
      <c r="E19" s="1" t="s">
        <v>668</v>
      </c>
      <c r="F19" s="1"/>
    </row>
    <row r="20" spans="1:6" x14ac:dyDescent="0.25">
      <c r="A20" t="s">
        <v>683</v>
      </c>
      <c r="B20" t="s">
        <v>684</v>
      </c>
      <c r="C20" s="379">
        <v>5.1999999999999998E-2</v>
      </c>
      <c r="D20" s="379"/>
      <c r="E20" t="s">
        <v>685</v>
      </c>
    </row>
    <row r="21" spans="1:6" x14ac:dyDescent="0.25">
      <c r="A21" t="s">
        <v>686</v>
      </c>
      <c r="B21" t="s">
        <v>684</v>
      </c>
      <c r="C21" s="355">
        <v>30</v>
      </c>
      <c r="D21" s="355" t="s">
        <v>229</v>
      </c>
      <c r="E21" t="s">
        <v>687</v>
      </c>
    </row>
    <row r="22" spans="1:6" x14ac:dyDescent="0.25">
      <c r="A22" t="s">
        <v>688</v>
      </c>
      <c r="B22" t="s">
        <v>684</v>
      </c>
      <c r="C22" s="380">
        <v>0.02</v>
      </c>
      <c r="D22" s="380"/>
      <c r="E22" t="s">
        <v>689</v>
      </c>
    </row>
    <row r="23" spans="1:6" x14ac:dyDescent="0.25">
      <c r="A23" t="s">
        <v>690</v>
      </c>
    </row>
    <row r="24" spans="1:6" x14ac:dyDescent="0.25">
      <c r="A24" t="s">
        <v>684</v>
      </c>
      <c r="B24" t="s">
        <v>691</v>
      </c>
      <c r="C24">
        <v>0</v>
      </c>
      <c r="E24" t="s">
        <v>692</v>
      </c>
    </row>
    <row r="25" spans="1:6" x14ac:dyDescent="0.25">
      <c r="A25" t="s">
        <v>693</v>
      </c>
      <c r="B25" t="s">
        <v>684</v>
      </c>
      <c r="C25" s="382">
        <v>14</v>
      </c>
      <c r="D25" s="355" t="s">
        <v>694</v>
      </c>
      <c r="E25" t="s">
        <v>695</v>
      </c>
    </row>
    <row r="26" spans="1:6" x14ac:dyDescent="0.25">
      <c r="A26" t="s">
        <v>696</v>
      </c>
      <c r="B26" t="s">
        <v>684</v>
      </c>
      <c r="C26" s="382">
        <v>11</v>
      </c>
      <c r="D26" s="355" t="s">
        <v>694</v>
      </c>
      <c r="E26" t="s">
        <v>697</v>
      </c>
    </row>
    <row r="27" spans="1:6" x14ac:dyDescent="0.25">
      <c r="A27" t="s">
        <v>698</v>
      </c>
      <c r="B27" t="s">
        <v>684</v>
      </c>
      <c r="C27" s="383">
        <v>100</v>
      </c>
      <c r="D27" s="355" t="s">
        <v>699</v>
      </c>
      <c r="E27" t="s">
        <v>700</v>
      </c>
    </row>
    <row r="28" spans="1:6" x14ac:dyDescent="0.25">
      <c r="A28" t="s">
        <v>698</v>
      </c>
      <c r="B28" t="s">
        <v>684</v>
      </c>
      <c r="C28" s="505">
        <v>0.03</v>
      </c>
      <c r="D28" s="380"/>
      <c r="E28" t="s">
        <v>701</v>
      </c>
    </row>
    <row r="29" spans="1:6" x14ac:dyDescent="0.25">
      <c r="A29" t="s">
        <v>684</v>
      </c>
      <c r="B29" t="s">
        <v>684</v>
      </c>
      <c r="C29" t="s">
        <v>684</v>
      </c>
      <c r="E29" t="s">
        <v>684</v>
      </c>
    </row>
    <row r="30" spans="1:6" x14ac:dyDescent="0.25">
      <c r="A30" t="s">
        <v>702</v>
      </c>
      <c r="B30" t="s">
        <v>431</v>
      </c>
      <c r="C30" s="381">
        <v>26.18</v>
      </c>
      <c r="D30" s="381"/>
    </row>
    <row r="31" spans="1:6" x14ac:dyDescent="0.25">
      <c r="A31" t="s">
        <v>702</v>
      </c>
      <c r="B31" t="s">
        <v>703</v>
      </c>
      <c r="C31" s="381">
        <v>120.15</v>
      </c>
      <c r="D31" s="381"/>
      <c r="E31" t="s">
        <v>684</v>
      </c>
    </row>
    <row r="32" spans="1:6" x14ac:dyDescent="0.25">
      <c r="A32" t="s">
        <v>702</v>
      </c>
      <c r="B32" t="s">
        <v>704</v>
      </c>
      <c r="C32" s="381">
        <v>112.32</v>
      </c>
      <c r="D32" s="381"/>
      <c r="E32" t="s">
        <v>684</v>
      </c>
    </row>
    <row r="33" spans="1:5" x14ac:dyDescent="0.25">
      <c r="A33" t="s">
        <v>702</v>
      </c>
      <c r="B33" t="s">
        <v>705</v>
      </c>
      <c r="C33" s="381">
        <v>94.6</v>
      </c>
      <c r="D33" s="381"/>
      <c r="E33" t="s">
        <v>684</v>
      </c>
    </row>
    <row r="34" spans="1:5" x14ac:dyDescent="0.25">
      <c r="A34" t="s">
        <v>706</v>
      </c>
      <c r="B34" t="s">
        <v>707</v>
      </c>
      <c r="C34">
        <v>30</v>
      </c>
      <c r="D34" s="355" t="s">
        <v>229</v>
      </c>
      <c r="E34" t="s">
        <v>708</v>
      </c>
    </row>
    <row r="35" spans="1:5" x14ac:dyDescent="0.25">
      <c r="A35" t="s">
        <v>709</v>
      </c>
      <c r="B35" t="s">
        <v>710</v>
      </c>
      <c r="C35">
        <v>15</v>
      </c>
      <c r="D35" s="355" t="s">
        <v>229</v>
      </c>
      <c r="E35" t="s">
        <v>711</v>
      </c>
    </row>
    <row r="36" spans="1:5" x14ac:dyDescent="0.25">
      <c r="A36" t="s">
        <v>712</v>
      </c>
      <c r="B36" t="s">
        <v>713</v>
      </c>
      <c r="C36" s="380">
        <v>0.01</v>
      </c>
      <c r="D36" s="380"/>
      <c r="E36" t="s">
        <v>714</v>
      </c>
    </row>
    <row r="37" spans="1:5" x14ac:dyDescent="0.25">
      <c r="A37" t="s">
        <v>712</v>
      </c>
      <c r="B37" t="s">
        <v>715</v>
      </c>
      <c r="C37" s="380">
        <v>0.03</v>
      </c>
      <c r="D37" s="380"/>
      <c r="E37" t="s">
        <v>714</v>
      </c>
    </row>
    <row r="38" spans="1:5" x14ac:dyDescent="0.25">
      <c r="A38" t="s">
        <v>712</v>
      </c>
      <c r="B38" t="s">
        <v>716</v>
      </c>
      <c r="C38" s="379">
        <v>2.5000000000000001E-2</v>
      </c>
      <c r="D38" s="379"/>
      <c r="E38" t="s">
        <v>714</v>
      </c>
    </row>
    <row r="39" spans="1:5" x14ac:dyDescent="0.25">
      <c r="A39" t="s">
        <v>712</v>
      </c>
      <c r="B39" t="s">
        <v>710</v>
      </c>
      <c r="C39" s="383">
        <v>34</v>
      </c>
      <c r="D39" s="383" t="s">
        <v>717</v>
      </c>
      <c r="E39" t="s">
        <v>718</v>
      </c>
    </row>
    <row r="40" spans="1:5" x14ac:dyDescent="0.25">
      <c r="A40" t="s">
        <v>719</v>
      </c>
      <c r="B40" t="s">
        <v>684</v>
      </c>
      <c r="C40" s="382">
        <v>70</v>
      </c>
      <c r="D40" s="383" t="s">
        <v>717</v>
      </c>
      <c r="E40" t="s">
        <v>720</v>
      </c>
    </row>
    <row r="43" spans="1:5" ht="13" x14ac:dyDescent="0.3">
      <c r="A43" s="1" t="s">
        <v>665</v>
      </c>
      <c r="B43" s="1" t="s">
        <v>682</v>
      </c>
      <c r="C43" s="1" t="s">
        <v>407</v>
      </c>
      <c r="D43" s="1" t="s">
        <v>667</v>
      </c>
      <c r="E43" s="1" t="s">
        <v>721</v>
      </c>
    </row>
    <row r="44" spans="1:5" x14ac:dyDescent="0.25">
      <c r="A44" t="s">
        <v>722</v>
      </c>
      <c r="B44" t="s">
        <v>684</v>
      </c>
      <c r="C44" s="379">
        <v>3.5000000000000001E-3</v>
      </c>
      <c r="D44" s="355" t="s">
        <v>717</v>
      </c>
      <c r="E44" t="s">
        <v>723</v>
      </c>
    </row>
    <row r="45" spans="1:5" x14ac:dyDescent="0.25">
      <c r="A45" t="s">
        <v>724</v>
      </c>
      <c r="B45" t="s">
        <v>684</v>
      </c>
      <c r="C45" s="384">
        <v>9</v>
      </c>
      <c r="D45" s="355" t="s">
        <v>694</v>
      </c>
      <c r="E45" t="s">
        <v>725</v>
      </c>
    </row>
    <row r="46" spans="1:5" x14ac:dyDescent="0.25">
      <c r="A46" t="s">
        <v>702</v>
      </c>
      <c r="B46" t="s">
        <v>726</v>
      </c>
      <c r="C46" s="1138">
        <v>481.67</v>
      </c>
      <c r="E46" s="355" t="s">
        <v>727</v>
      </c>
    </row>
    <row r="47" spans="1:5" x14ac:dyDescent="0.25">
      <c r="A47" t="s">
        <v>702</v>
      </c>
      <c r="B47" t="s">
        <v>728</v>
      </c>
      <c r="C47" s="1138">
        <v>240.84</v>
      </c>
      <c r="E47" t="s">
        <v>684</v>
      </c>
    </row>
    <row r="48" spans="1:5" x14ac:dyDescent="0.25">
      <c r="A48" t="s">
        <v>702</v>
      </c>
      <c r="B48" t="s">
        <v>729</v>
      </c>
      <c r="C48" s="381">
        <v>256.63</v>
      </c>
      <c r="E48" t="s">
        <v>684</v>
      </c>
    </row>
    <row r="49" spans="1:5" x14ac:dyDescent="0.25">
      <c r="A49" s="355" t="s">
        <v>730</v>
      </c>
      <c r="C49" s="382">
        <v>240</v>
      </c>
      <c r="E49" s="355" t="s">
        <v>731</v>
      </c>
    </row>
    <row r="51" spans="1:5" ht="13" x14ac:dyDescent="0.3">
      <c r="A51" s="1" t="s">
        <v>732</v>
      </c>
    </row>
    <row r="53" spans="1:5" ht="13" x14ac:dyDescent="0.3">
      <c r="A53" s="1" t="s">
        <v>665</v>
      </c>
      <c r="C53" s="1" t="s">
        <v>407</v>
      </c>
      <c r="D53" s="1" t="s">
        <v>667</v>
      </c>
      <c r="E53" s="1" t="s">
        <v>721</v>
      </c>
    </row>
    <row r="54" spans="1:5" x14ac:dyDescent="0.25">
      <c r="A54" t="s">
        <v>733</v>
      </c>
      <c r="C54" s="382">
        <v>1300000</v>
      </c>
      <c r="D54" s="355" t="s">
        <v>132</v>
      </c>
      <c r="E54" t="s">
        <v>734</v>
      </c>
    </row>
    <row r="55" spans="1:5" x14ac:dyDescent="0.25">
      <c r="A55" t="s">
        <v>133</v>
      </c>
      <c r="C55" s="382">
        <v>1050000</v>
      </c>
      <c r="D55" s="355" t="s">
        <v>132</v>
      </c>
      <c r="E55" t="s">
        <v>735</v>
      </c>
    </row>
    <row r="56" spans="1:5" x14ac:dyDescent="0.25">
      <c r="A56" t="s">
        <v>134</v>
      </c>
      <c r="C56" s="382">
        <v>115000</v>
      </c>
      <c r="E56" t="s">
        <v>736</v>
      </c>
    </row>
    <row r="57" spans="1:5" x14ac:dyDescent="0.25">
      <c r="A57" t="s">
        <v>737</v>
      </c>
      <c r="C57" s="382">
        <v>4100</v>
      </c>
      <c r="E57" t="s">
        <v>738</v>
      </c>
    </row>
    <row r="58" spans="1:5" x14ac:dyDescent="0.25">
      <c r="A58" t="s">
        <v>739</v>
      </c>
      <c r="C58" s="382">
        <v>2400</v>
      </c>
      <c r="E58" t="s">
        <v>740</v>
      </c>
    </row>
    <row r="59" spans="1:5" x14ac:dyDescent="0.25">
      <c r="A59" t="s">
        <v>140</v>
      </c>
      <c r="C59" s="382">
        <v>1350</v>
      </c>
      <c r="E59" t="s">
        <v>741</v>
      </c>
    </row>
    <row r="62" spans="1:5" x14ac:dyDescent="0.25">
      <c r="C62" s="382"/>
    </row>
    <row r="64" spans="1:5" x14ac:dyDescent="0.25">
      <c r="C64" s="38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F44CA9E168D549A5CE82ECB51B0643" ma:contentTypeVersion="13" ma:contentTypeDescription="Een nieuw document maken." ma:contentTypeScope="" ma:versionID="73849306467d94317a82bffb5aab9451">
  <xsd:schema xmlns:xsd="http://www.w3.org/2001/XMLSchema" xmlns:xs="http://www.w3.org/2001/XMLSchema" xmlns:p="http://schemas.microsoft.com/office/2006/metadata/properties" xmlns:ns2="5e8af631-3e57-4dba-b4a7-9e4edb8f0cce" xmlns:ns3="3354526b-21f7-40be-9a18-f7fbe3bcb4c1" targetNamespace="http://schemas.microsoft.com/office/2006/metadata/properties" ma:root="true" ma:fieldsID="bb5113bb78a0df0930164cd5c203b1cd" ns2:_="" ns3:_="">
    <xsd:import namespace="5e8af631-3e57-4dba-b4a7-9e4edb8f0cce"/>
    <xsd:import namespace="3354526b-21f7-40be-9a18-f7fbe3bcb4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af631-3e57-4dba-b4a7-9e4edb8f0c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54526b-21f7-40be-9a18-f7fbe3bcb4c1"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e5002e6c-4a48-4350-be1b-c3150d7f2b3f}" ma:internalName="TaxCatchAll" ma:showField="CatchAllData" ma:web="3354526b-21f7-40be-9a18-f7fbe3bcb4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54526b-21f7-40be-9a18-f7fbe3bcb4c1" xsi:nil="true"/>
    <lcf76f155ced4ddcb4097134ff3c332f xmlns="5e8af631-3e57-4dba-b4a7-9e4edb8f0cc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452406-0765-4572-AA70-DA13EA12F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af631-3e57-4dba-b4a7-9e4edb8f0cce"/>
    <ds:schemaRef ds:uri="3354526b-21f7-40be-9a18-f7fbe3bcb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36D725-6947-4207-9265-534A725DC2B6}">
  <ds:schemaRefs>
    <ds:schemaRef ds:uri="http://schemas.microsoft.com/sharepoint/v3/contenttype/forms"/>
  </ds:schemaRefs>
</ds:datastoreItem>
</file>

<file path=customXml/itemProps3.xml><?xml version="1.0" encoding="utf-8"?>
<ds:datastoreItem xmlns:ds="http://schemas.openxmlformats.org/officeDocument/2006/customXml" ds:itemID="{D9C9E88F-C6D7-439E-9AA1-28554825C85E}">
  <ds:schemaRefs>
    <ds:schemaRef ds:uri="http://schemas.microsoft.com/office/infopath/2007/PartnerControls"/>
    <ds:schemaRef ds:uri="http://schemas.microsoft.com/office/2006/documentManagement/types"/>
    <ds:schemaRef ds:uri="http://schemas.microsoft.com/office/2006/metadata/properties"/>
    <ds:schemaRef ds:uri="3354526b-21f7-40be-9a18-f7fbe3bcb4c1"/>
    <ds:schemaRef ds:uri="http://purl.org/dc/terms/"/>
    <ds:schemaRef ds:uri="http://schemas.openxmlformats.org/package/2006/metadata/core-properties"/>
    <ds:schemaRef ds:uri="http://purl.org/dc/dcmitype/"/>
    <ds:schemaRef ds:uri="5e8af631-3e57-4dba-b4a7-9e4edb8f0cce"/>
    <ds:schemaRef ds:uri="http://www.w3.org/XML/1998/namespace"/>
    <ds:schemaRef ds:uri="http://purl.org/dc/elements/1.1/"/>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17</vt:i4>
      </vt:variant>
      <vt:variant>
        <vt:lpstr>Benoemde bereiken</vt:lpstr>
      </vt:variant>
      <vt:variant>
        <vt:i4>45</vt:i4>
      </vt:variant>
    </vt:vector>
  </HeadingPairs>
  <TitlesOfParts>
    <vt:vector size="62" baseType="lpstr">
      <vt:lpstr>Voor u begint</vt:lpstr>
      <vt:lpstr>Toelichting begroting </vt:lpstr>
      <vt:lpstr>Project</vt:lpstr>
      <vt:lpstr>Begroting</vt:lpstr>
      <vt:lpstr>Overdrachtstations</vt:lpstr>
      <vt:lpstr>Mijlpalenbegroting</vt:lpstr>
      <vt:lpstr>ORT uitgangspunten</vt:lpstr>
      <vt:lpstr>Financiering</vt:lpstr>
      <vt:lpstr>Aansluitingen na looptijd</vt:lpstr>
      <vt:lpstr>Grafieken</vt:lpstr>
      <vt:lpstr>ORT aansluitingen</vt:lpstr>
      <vt:lpstr>ORT Berekening</vt:lpstr>
      <vt:lpstr>Monitoring</vt:lpstr>
      <vt:lpstr>Mijlpaal Berekening</vt:lpstr>
      <vt:lpstr>Lijsten</vt:lpstr>
      <vt:lpstr>ORT_Lijsten</vt:lpstr>
      <vt:lpstr>Waarden regeling</vt:lpstr>
      <vt:lpstr>'Toelichting begroting '!_ftnref1</vt:lpstr>
      <vt:lpstr>Begroting!Afdrukbereik</vt:lpstr>
      <vt:lpstr>Financiering!Afdrukbereik</vt:lpstr>
      <vt:lpstr>Mijlpalenbegroting!Afdrukbereik</vt:lpstr>
      <vt:lpstr>'ORT aansluitingen'!Afdrukbereik</vt:lpstr>
      <vt:lpstr>'ORT uitgangspunten'!Afdrukbereik</vt:lpstr>
      <vt:lpstr>Project!Afdrukbereik</vt:lpstr>
      <vt:lpstr>'Toelichting begroting '!Afdrukbereik</vt:lpstr>
      <vt:lpstr>'Voor u begint'!Afdrukbereik</vt:lpstr>
      <vt:lpstr>Begroting!Afdruktitels</vt:lpstr>
      <vt:lpstr>Overdrachtstations!Afdruktitels</vt:lpstr>
      <vt:lpstr>Afschr_hoog</vt:lpstr>
      <vt:lpstr>Afschr_laag</vt:lpstr>
      <vt:lpstr>Bron_ZLT_kosten</vt:lpstr>
      <vt:lpstr>BTW</vt:lpstr>
      <vt:lpstr>Cap_huur</vt:lpstr>
      <vt:lpstr>Cap_part</vt:lpstr>
      <vt:lpstr>Controleregel</vt:lpstr>
      <vt:lpstr>Df_As</vt:lpstr>
      <vt:lpstr>Df_Gea</vt:lpstr>
      <vt:lpstr>Df_Gra</vt:lpstr>
      <vt:lpstr>Df_Os</vt:lpstr>
      <vt:lpstr>Df_Pw</vt:lpstr>
      <vt:lpstr>Df_Sw</vt:lpstr>
      <vt:lpstr>Einddatum</vt:lpstr>
      <vt:lpstr>Fase</vt:lpstr>
      <vt:lpstr>inflatie</vt:lpstr>
      <vt:lpstr>IRR</vt:lpstr>
      <vt:lpstr>K_adm</vt:lpstr>
      <vt:lpstr>Kolom_Startjaar</vt:lpstr>
      <vt:lpstr>Kpiek_inv</vt:lpstr>
      <vt:lpstr>Kpiek_ond</vt:lpstr>
      <vt:lpstr>Looptijd</vt:lpstr>
      <vt:lpstr>Marge_hoog</vt:lpstr>
      <vt:lpstr>Marge_laag</vt:lpstr>
      <vt:lpstr>max_investperc</vt:lpstr>
      <vt:lpstr>meettarief</vt:lpstr>
      <vt:lpstr>OH_AS</vt:lpstr>
      <vt:lpstr>Organisatietype</vt:lpstr>
      <vt:lpstr>projectrendement</vt:lpstr>
      <vt:lpstr>Rend_na_bel</vt:lpstr>
      <vt:lpstr>SrtWoning</vt:lpstr>
      <vt:lpstr>Startdatum</vt:lpstr>
      <vt:lpstr>Uurtarief</vt:lpstr>
      <vt:lpstr>Verm_KV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Exploitatieberekening WIS 2024</dc:title>
  <dc:subject/>
  <dc:creator>Rijksdienst voor Ondernemend Nederland</dc:creator>
  <cp:keywords/>
  <dc:description/>
  <cp:lastModifiedBy>Rijksdienst voor Ondernemend Nederland</cp:lastModifiedBy>
  <cp:revision/>
  <dcterms:created xsi:type="dcterms:W3CDTF">2010-05-21T06:27:07Z</dcterms:created>
  <dcterms:modified xsi:type="dcterms:W3CDTF">2024-11-06T09:59:07Z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0x01010024F44CA9E168D549A5CE82ECB51B0643</vt:lpwstr>
  </property>
  <property fmtid="{D5CDD505-2E9C-101B-9397-08002B2CF9AE}" pid="3" name="MediaServiceImageTags">
    <vt:lpwstr/>
  </property>
</Properties>
</file>